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/Users/felipefonseca/Library/Mobile Documents/com~apple~CloudDocs/Felipe/Files/Investimentos/Trading/Excel/"/>
    </mc:Choice>
  </mc:AlternateContent>
  <xr:revisionPtr revIDLastSave="0" documentId="8_{3BAF2FA8-3769-3446-B77E-1E5152E9C65E}" xr6:coauthVersionLast="47" xr6:coauthVersionMax="47" xr10:uidLastSave="{00000000-0000-0000-0000-000000000000}"/>
  <bookViews>
    <workbookView xWindow="0" yWindow="500" windowWidth="38400" windowHeight="19860" activeTab="7" xr2:uid="{DD0F72B9-A498-45AA-A611-8835D0A2B992}"/>
  </bookViews>
  <sheets>
    <sheet name="NOVEMBRO, 24" sheetId="1" r:id="rId1"/>
    <sheet name="DEZEMBRO, 24" sheetId="6" r:id="rId2"/>
    <sheet name="JANEIRO, 25" sheetId="7" r:id="rId3"/>
    <sheet name="FEVEREIRO, 25" sheetId="8" r:id="rId4"/>
    <sheet name="MARCO, 25" sheetId="10" r:id="rId5"/>
    <sheet name="ABRIL, 25" sheetId="11" r:id="rId6"/>
    <sheet name="MAIO, 25" sheetId="12" r:id="rId7"/>
    <sheet name="JUNHO, 25" sheetId="14" r:id="rId8"/>
    <sheet name="REGISTROS DE OPERAÇÕES " sheetId="13" r:id="rId9"/>
    <sheet name="HISTÓRICO DA BANCA" sheetId="2" r:id="rId10"/>
    <sheet name="GANHOS" sheetId="3" r:id="rId11"/>
    <sheet name="PERCENTUAL" sheetId="4" r:id="rId12"/>
    <sheet name="RETIRADAS" sheetId="5" r:id="rId13"/>
  </sheets>
  <definedNames>
    <definedName name="_xlchart.v1.0" hidden="1">'REGISTROS DE OPERAÇÕES '!$AA$5:$AA$11</definedName>
    <definedName name="_xlchart.v1.1" hidden="1">'REGISTROS DE OPERAÇÕES '!$AB$4</definedName>
    <definedName name="_xlchart.v1.2" hidden="1">'REGISTROS DE OPERAÇÕES '!$AB$5:$AB$11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4" l="1"/>
  <c r="O28" i="14"/>
  <c r="P28" i="14"/>
  <c r="Q28" i="14"/>
  <c r="R28" i="14"/>
  <c r="S28" i="14"/>
  <c r="T28" i="14"/>
  <c r="U28" i="14"/>
  <c r="V28" i="14"/>
  <c r="O27" i="14"/>
  <c r="P27" i="14"/>
  <c r="Q27" i="14"/>
  <c r="R27" i="14"/>
  <c r="S27" i="14"/>
  <c r="T27" i="14"/>
  <c r="U27" i="14"/>
  <c r="V27" i="14"/>
  <c r="J28" i="14"/>
  <c r="K28" i="14" s="1"/>
  <c r="G28" i="14"/>
  <c r="H28" i="14" s="1"/>
  <c r="J27" i="14"/>
  <c r="K27" i="14" s="1"/>
  <c r="N27" i="14"/>
  <c r="G27" i="14"/>
  <c r="I27" i="14" s="1"/>
  <c r="H27" i="14"/>
  <c r="Y4" i="14"/>
  <c r="L28" i="14" l="1"/>
  <c r="I28" i="14"/>
  <c r="L27" i="14"/>
  <c r="T26" i="14" l="1"/>
  <c r="Q26" i="14"/>
  <c r="P26" i="14"/>
  <c r="V26" i="14" s="1"/>
  <c r="O26" i="14"/>
  <c r="U26" i="14" s="1"/>
  <c r="N26" i="14"/>
  <c r="G26" i="14"/>
  <c r="H26" i="14" s="1"/>
  <c r="I26" i="14"/>
  <c r="J26" i="14"/>
  <c r="K26" i="14"/>
  <c r="L26" i="14"/>
  <c r="N25" i="14"/>
  <c r="O25" i="14"/>
  <c r="P25" i="14"/>
  <c r="Q25" i="14"/>
  <c r="R25" i="14"/>
  <c r="S25" i="14"/>
  <c r="T25" i="14"/>
  <c r="U25" i="14"/>
  <c r="V25" i="14"/>
  <c r="J25" i="14"/>
  <c r="K25" i="14" s="1"/>
  <c r="L25" i="14"/>
  <c r="N22" i="14"/>
  <c r="O22" i="14"/>
  <c r="P22" i="14"/>
  <c r="Q22" i="14"/>
  <c r="R22" i="14"/>
  <c r="S22" i="14"/>
  <c r="T22" i="14"/>
  <c r="U22" i="14"/>
  <c r="V22" i="14"/>
  <c r="N23" i="14"/>
  <c r="O23" i="14"/>
  <c r="R23" i="14" s="1"/>
  <c r="P23" i="14"/>
  <c r="Q23" i="14"/>
  <c r="S23" i="14"/>
  <c r="T23" i="14"/>
  <c r="U23" i="14"/>
  <c r="V23" i="14"/>
  <c r="O24" i="14"/>
  <c r="R24" i="14" s="1"/>
  <c r="P24" i="14"/>
  <c r="S24" i="14"/>
  <c r="V24" i="14"/>
  <c r="G25" i="14"/>
  <c r="H25" i="14" s="1"/>
  <c r="G22" i="14"/>
  <c r="H22" i="14" s="1"/>
  <c r="J22" i="14"/>
  <c r="K22" i="14" s="1"/>
  <c r="L22" i="14"/>
  <c r="G23" i="14"/>
  <c r="J23" i="14" s="1"/>
  <c r="G24" i="14"/>
  <c r="H24" i="14" s="1"/>
  <c r="N21" i="14"/>
  <c r="O21" i="14"/>
  <c r="U21" i="14" s="1"/>
  <c r="P21" i="14"/>
  <c r="S21" i="14" s="1"/>
  <c r="Q21" i="14"/>
  <c r="T21" i="14"/>
  <c r="J21" i="14"/>
  <c r="K21" i="14" s="1"/>
  <c r="G21" i="14"/>
  <c r="H21" i="14" s="1"/>
  <c r="O20" i="14"/>
  <c r="R20" i="14" s="1"/>
  <c r="P20" i="14"/>
  <c r="S20" i="14" s="1"/>
  <c r="J20" i="14"/>
  <c r="K20" i="14" s="1"/>
  <c r="Q20" i="14" s="1"/>
  <c r="G20" i="14"/>
  <c r="H20" i="14" s="1"/>
  <c r="N19" i="14"/>
  <c r="O19" i="14"/>
  <c r="R19" i="14" s="1"/>
  <c r="P19" i="14"/>
  <c r="S19" i="14" s="1"/>
  <c r="Q19" i="14"/>
  <c r="T19" i="14"/>
  <c r="U19" i="14"/>
  <c r="J19" i="14"/>
  <c r="K19" i="14" s="1"/>
  <c r="G19" i="14"/>
  <c r="H19" i="14" s="1"/>
  <c r="O18" i="14"/>
  <c r="P18" i="14"/>
  <c r="S18" i="14" s="1"/>
  <c r="R18" i="14"/>
  <c r="U18" i="14"/>
  <c r="V18" i="14"/>
  <c r="J18" i="14"/>
  <c r="L18" i="14" s="1"/>
  <c r="T18" i="14" s="1"/>
  <c r="G18" i="14"/>
  <c r="H18" i="14" s="1"/>
  <c r="I18" i="14"/>
  <c r="O17" i="14"/>
  <c r="P17" i="14"/>
  <c r="R17" i="14"/>
  <c r="S17" i="14"/>
  <c r="U17" i="14"/>
  <c r="V17" i="14"/>
  <c r="G17" i="14"/>
  <c r="H17" i="14" s="1"/>
  <c r="J16" i="14"/>
  <c r="K16" i="14" s="1"/>
  <c r="Q16" i="14" s="1"/>
  <c r="O16" i="14"/>
  <c r="U16" i="14" s="1"/>
  <c r="P16" i="14"/>
  <c r="V16" i="14" s="1"/>
  <c r="O15" i="14"/>
  <c r="R15" i="14" s="1"/>
  <c r="P15" i="14"/>
  <c r="Q15" i="14"/>
  <c r="S15" i="14"/>
  <c r="T15" i="14"/>
  <c r="U15" i="14"/>
  <c r="V15" i="14"/>
  <c r="G16" i="14"/>
  <c r="H16" i="14"/>
  <c r="I16" i="14"/>
  <c r="J15" i="14"/>
  <c r="K15" i="14" s="1"/>
  <c r="G15" i="14"/>
  <c r="H15" i="14" s="1"/>
  <c r="O14" i="14"/>
  <c r="R14" i="14" s="1"/>
  <c r="P14" i="14"/>
  <c r="S14" i="14" s="1"/>
  <c r="J14" i="14"/>
  <c r="K14" i="14" s="1"/>
  <c r="Q14" i="14" s="1"/>
  <c r="S77" i="13"/>
  <c r="S76" i="13"/>
  <c r="G14" i="14"/>
  <c r="H14" i="14" s="1"/>
  <c r="O13" i="14"/>
  <c r="R13" i="14" s="1"/>
  <c r="P13" i="14"/>
  <c r="S13" i="14" s="1"/>
  <c r="J13" i="14"/>
  <c r="K13" i="14" s="1"/>
  <c r="Q13" i="14" s="1"/>
  <c r="G13" i="14"/>
  <c r="H13" i="14" s="1"/>
  <c r="N12" i="14"/>
  <c r="O12" i="14"/>
  <c r="P12" i="14"/>
  <c r="S12" i="14" s="1"/>
  <c r="Q12" i="14"/>
  <c r="R12" i="14"/>
  <c r="T12" i="14"/>
  <c r="U12" i="14"/>
  <c r="U11" i="14"/>
  <c r="V11" i="14"/>
  <c r="R11" i="14"/>
  <c r="S11" i="14"/>
  <c r="O11" i="14"/>
  <c r="P11" i="14"/>
  <c r="J12" i="14"/>
  <c r="K12" i="14" s="1"/>
  <c r="G12" i="14"/>
  <c r="H12" i="14" s="1"/>
  <c r="J11" i="14"/>
  <c r="K11" i="14" s="1"/>
  <c r="Q11" i="14" s="1"/>
  <c r="G11" i="14"/>
  <c r="H11" i="14" s="1"/>
  <c r="O10" i="14"/>
  <c r="R10" i="14" s="1"/>
  <c r="P10" i="14"/>
  <c r="S10" i="14"/>
  <c r="U10" i="14"/>
  <c r="V10" i="14"/>
  <c r="J10" i="14"/>
  <c r="L10" i="14" s="1"/>
  <c r="T10" i="14" s="1"/>
  <c r="R26" i="14" l="1"/>
  <c r="S26" i="14"/>
  <c r="U24" i="14"/>
  <c r="I25" i="14"/>
  <c r="K23" i="14"/>
  <c r="L23" i="14"/>
  <c r="J24" i="14"/>
  <c r="N24" i="14" s="1"/>
  <c r="I24" i="14"/>
  <c r="I23" i="14"/>
  <c r="I22" i="14"/>
  <c r="H23" i="14"/>
  <c r="R21" i="14"/>
  <c r="V21" i="14"/>
  <c r="L21" i="14"/>
  <c r="I21" i="14"/>
  <c r="N20" i="14"/>
  <c r="V20" i="14"/>
  <c r="U20" i="14"/>
  <c r="L20" i="14"/>
  <c r="T20" i="14" s="1"/>
  <c r="I20" i="14"/>
  <c r="V19" i="14"/>
  <c r="L19" i="14"/>
  <c r="I19" i="14"/>
  <c r="K18" i="14"/>
  <c r="Q18" i="14" s="1"/>
  <c r="N18" i="14"/>
  <c r="N16" i="14"/>
  <c r="J17" i="14"/>
  <c r="N17" i="14" s="1"/>
  <c r="I17" i="14"/>
  <c r="R16" i="14"/>
  <c r="L16" i="14"/>
  <c r="T16" i="14" s="1"/>
  <c r="S16" i="14"/>
  <c r="N15" i="14"/>
  <c r="L15" i="14"/>
  <c r="N14" i="14"/>
  <c r="I15" i="14"/>
  <c r="V14" i="14"/>
  <c r="U14" i="14"/>
  <c r="L14" i="14"/>
  <c r="T14" i="14" s="1"/>
  <c r="I14" i="14"/>
  <c r="N13" i="14"/>
  <c r="U13" i="14"/>
  <c r="V13" i="14"/>
  <c r="L13" i="14"/>
  <c r="T13" i="14" s="1"/>
  <c r="I13" i="14"/>
  <c r="V12" i="14"/>
  <c r="L12" i="14"/>
  <c r="I12" i="14"/>
  <c r="L11" i="14"/>
  <c r="T11" i="14" s="1"/>
  <c r="N11" i="14"/>
  <c r="I11" i="14"/>
  <c r="K10" i="14"/>
  <c r="Q10" i="14" s="1"/>
  <c r="N10" i="14"/>
  <c r="L24" i="14" l="1"/>
  <c r="T24" i="14" s="1"/>
  <c r="K24" i="14"/>
  <c r="Q24" i="14" s="1"/>
  <c r="L17" i="14"/>
  <c r="T17" i="14" s="1"/>
  <c r="K17" i="14"/>
  <c r="Q17" i="14" s="1"/>
  <c r="G10" i="14"/>
  <c r="H10" i="14" s="1"/>
  <c r="G7" i="14"/>
  <c r="H7" i="14" s="1"/>
  <c r="J7" i="14"/>
  <c r="N7" i="14" s="1"/>
  <c r="G8" i="14"/>
  <c r="H8" i="14"/>
  <c r="I8" i="14"/>
  <c r="J8" i="14"/>
  <c r="K8" i="14" s="1"/>
  <c r="Q8" i="14" s="1"/>
  <c r="G9" i="14"/>
  <c r="H9" i="14"/>
  <c r="I9" i="14"/>
  <c r="J9" i="14"/>
  <c r="N9" i="14" s="1"/>
  <c r="K9" i="14"/>
  <c r="L9" i="14"/>
  <c r="N6" i="14"/>
  <c r="O6" i="14"/>
  <c r="P6" i="14"/>
  <c r="Q6" i="14"/>
  <c r="R6" i="14"/>
  <c r="S6" i="14"/>
  <c r="T6" i="14"/>
  <c r="U6" i="14"/>
  <c r="V6" i="14"/>
  <c r="O7" i="14"/>
  <c r="U7" i="14" s="1"/>
  <c r="P7" i="14"/>
  <c r="S7" i="14" s="1"/>
  <c r="O8" i="14"/>
  <c r="U8" i="14" s="1"/>
  <c r="P8" i="14"/>
  <c r="S8" i="14" s="1"/>
  <c r="O9" i="14"/>
  <c r="R9" i="14" s="1"/>
  <c r="P9" i="14"/>
  <c r="S9" i="14" s="1"/>
  <c r="Q9" i="14"/>
  <c r="T9" i="14"/>
  <c r="J6" i="14"/>
  <c r="K6" i="14" s="1"/>
  <c r="L6" i="14"/>
  <c r="G6" i="14"/>
  <c r="H6" i="14" s="1"/>
  <c r="I10" i="14" l="1"/>
  <c r="K7" i="14"/>
  <c r="Q7" i="14" s="1"/>
  <c r="V7" i="14"/>
  <c r="L7" i="14"/>
  <c r="I7" i="14"/>
  <c r="N8" i="14"/>
  <c r="V8" i="14"/>
  <c r="R7" i="14"/>
  <c r="L8" i="14"/>
  <c r="T8" i="14" s="1"/>
  <c r="R8" i="14"/>
  <c r="U9" i="14"/>
  <c r="V9" i="14"/>
  <c r="I6" i="14"/>
  <c r="T7" i="14" l="1"/>
  <c r="O5" i="14"/>
  <c r="U5" i="14" s="1"/>
  <c r="P5" i="14"/>
  <c r="S5" i="14"/>
  <c r="V5" i="14"/>
  <c r="G5" i="14"/>
  <c r="H5" i="14" s="1"/>
  <c r="I5" i="14"/>
  <c r="J5" i="14"/>
  <c r="L5" i="14" s="1"/>
  <c r="T5" i="14" s="1"/>
  <c r="J4" i="14"/>
  <c r="K4" i="14" s="1"/>
  <c r="Q4" i="14" s="1"/>
  <c r="O4" i="14"/>
  <c r="R4" i="14" s="1"/>
  <c r="P4" i="14"/>
  <c r="S4" i="14" s="1"/>
  <c r="G4" i="14"/>
  <c r="H4" i="14" s="1"/>
  <c r="I4" i="14"/>
  <c r="G3" i="14"/>
  <c r="H3" i="14" s="1"/>
  <c r="C32" i="14"/>
  <c r="B32" i="14"/>
  <c r="S75" i="13"/>
  <c r="S74" i="13"/>
  <c r="S73" i="13"/>
  <c r="S72" i="13"/>
  <c r="S71" i="13"/>
  <c r="J3" i="14"/>
  <c r="K3" i="14" s="1"/>
  <c r="O3" i="14"/>
  <c r="R3" i="14" s="1"/>
  <c r="P3" i="14"/>
  <c r="S3" i="14" s="1"/>
  <c r="V2" i="14"/>
  <c r="S2" i="14"/>
  <c r="P2" i="14"/>
  <c r="U2" i="14"/>
  <c r="R2" i="14"/>
  <c r="S70" i="13"/>
  <c r="S69" i="13"/>
  <c r="S68" i="13"/>
  <c r="S67" i="13"/>
  <c r="I2" i="14"/>
  <c r="H2" i="14"/>
  <c r="N5" i="14" l="1"/>
  <c r="R5" i="14"/>
  <c r="K5" i="14"/>
  <c r="Q5" i="14" s="1"/>
  <c r="N4" i="14"/>
  <c r="L4" i="14"/>
  <c r="T4" i="14" s="1"/>
  <c r="V4" i="14"/>
  <c r="U4" i="14"/>
  <c r="Q3" i="14"/>
  <c r="I3" i="14"/>
  <c r="U3" i="14"/>
  <c r="N3" i="14"/>
  <c r="L3" i="14"/>
  <c r="T3" i="14" s="1"/>
  <c r="V3" i="14"/>
  <c r="Y8" i="14"/>
  <c r="Y5" i="14"/>
  <c r="AB7" i="14"/>
  <c r="AB6" i="14"/>
  <c r="AB5" i="14"/>
  <c r="AB4" i="14"/>
  <c r="X7" i="14" s="1"/>
  <c r="Y7" i="14" s="1"/>
  <c r="O2" i="14"/>
  <c r="B40" i="14"/>
  <c r="Y2" i="14"/>
  <c r="J2" i="14"/>
  <c r="N2" i="14" s="1"/>
  <c r="J32" i="12"/>
  <c r="K32" i="12" s="1"/>
  <c r="Q32" i="12" s="1"/>
  <c r="O32" i="12"/>
  <c r="P32" i="12"/>
  <c r="R32" i="12"/>
  <c r="S32" i="12"/>
  <c r="U32" i="12"/>
  <c r="V32" i="12"/>
  <c r="K2" i="14" l="1"/>
  <c r="Q2" i="14" s="1"/>
  <c r="L2" i="14"/>
  <c r="T2" i="14" s="1"/>
  <c r="X6" i="14"/>
  <c r="Y6" i="14" s="1"/>
  <c r="N32" i="12"/>
  <c r="L32" i="12"/>
  <c r="T32" i="12" s="1"/>
  <c r="G32" i="12"/>
  <c r="H32" i="12"/>
  <c r="I32" i="12"/>
  <c r="B33" i="12"/>
  <c r="C33" i="12"/>
  <c r="O31" i="12"/>
  <c r="P31" i="12"/>
  <c r="Q31" i="12"/>
  <c r="R31" i="12"/>
  <c r="S31" i="12"/>
  <c r="T31" i="12"/>
  <c r="U31" i="12"/>
  <c r="V31" i="12"/>
  <c r="J31" i="12"/>
  <c r="K31" i="12" s="1"/>
  <c r="G31" i="12"/>
  <c r="H31" i="12"/>
  <c r="I31" i="12"/>
  <c r="J30" i="12"/>
  <c r="K30" i="12" s="1"/>
  <c r="Q30" i="12" s="1"/>
  <c r="O30" i="12"/>
  <c r="P30" i="12"/>
  <c r="R30" i="12"/>
  <c r="S30" i="12"/>
  <c r="U30" i="12"/>
  <c r="V30" i="12"/>
  <c r="G30" i="12"/>
  <c r="H30" i="12"/>
  <c r="I30" i="12"/>
  <c r="N29" i="12"/>
  <c r="O29" i="12"/>
  <c r="P29" i="12"/>
  <c r="Q29" i="12"/>
  <c r="R29" i="12"/>
  <c r="S29" i="12"/>
  <c r="T29" i="12"/>
  <c r="U29" i="12"/>
  <c r="V29" i="12"/>
  <c r="J29" i="12"/>
  <c r="K29" i="12" s="1"/>
  <c r="G29" i="12"/>
  <c r="H29" i="12"/>
  <c r="I29" i="12"/>
  <c r="S66" i="13"/>
  <c r="S65" i="13"/>
  <c r="S64" i="13"/>
  <c r="S63" i="13"/>
  <c r="S62" i="13"/>
  <c r="O28" i="12"/>
  <c r="P28" i="12"/>
  <c r="R28" i="12"/>
  <c r="S28" i="12"/>
  <c r="U28" i="12"/>
  <c r="V28" i="12"/>
  <c r="G28" i="12"/>
  <c r="J28" i="12" s="1"/>
  <c r="N28" i="12" s="1"/>
  <c r="H28" i="12"/>
  <c r="I28" i="12"/>
  <c r="S61" i="13"/>
  <c r="S60" i="13"/>
  <c r="S59" i="13"/>
  <c r="J27" i="12"/>
  <c r="L27" i="12" s="1"/>
  <c r="J32" i="14" l="1"/>
  <c r="W14" i="14" s="1"/>
  <c r="N31" i="12"/>
  <c r="L31" i="12"/>
  <c r="N30" i="12"/>
  <c r="L30" i="12"/>
  <c r="T30" i="12" s="1"/>
  <c r="L29" i="12"/>
  <c r="L28" i="12"/>
  <c r="T28" i="12" s="1"/>
  <c r="K28" i="12"/>
  <c r="Q28" i="12" s="1"/>
  <c r="K27" i="12"/>
  <c r="N33" i="14" l="1"/>
  <c r="N32" i="14"/>
  <c r="N27" i="12"/>
  <c r="O27" i="12"/>
  <c r="P27" i="12"/>
  <c r="Q27" i="12"/>
  <c r="R27" i="12"/>
  <c r="S27" i="12"/>
  <c r="T27" i="12"/>
  <c r="U27" i="12"/>
  <c r="V27" i="12"/>
  <c r="G27" i="12"/>
  <c r="H27" i="12"/>
  <c r="I27" i="12"/>
  <c r="G26" i="12"/>
  <c r="J26" i="12" s="1"/>
  <c r="H26" i="12"/>
  <c r="S26" i="12" s="1"/>
  <c r="I26" i="12"/>
  <c r="U26" i="12" s="1"/>
  <c r="K26" i="12" l="1"/>
  <c r="Q26" i="12" s="1"/>
  <c r="L26" i="12"/>
  <c r="T26" i="12" s="1"/>
  <c r="N26" i="12"/>
  <c r="P26" i="12"/>
  <c r="V26" i="12"/>
  <c r="O26" i="12"/>
  <c r="R26" i="12"/>
  <c r="J25" i="12" l="1"/>
  <c r="K25" i="12" s="1"/>
  <c r="Q25" i="12" s="1"/>
  <c r="O25" i="12"/>
  <c r="P25" i="12"/>
  <c r="R25" i="12"/>
  <c r="S25" i="12"/>
  <c r="U25" i="12"/>
  <c r="V25" i="12"/>
  <c r="AZ7" i="13"/>
  <c r="AZ6" i="13"/>
  <c r="AY7" i="13"/>
  <c r="AZ5" i="13"/>
  <c r="AY6" i="13"/>
  <c r="AY5" i="13"/>
  <c r="BA5" i="13" s="1"/>
  <c r="S10" i="13"/>
  <c r="S5" i="13"/>
  <c r="S6" i="13"/>
  <c r="S7" i="13"/>
  <c r="S8" i="13"/>
  <c r="S9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4" i="13"/>
  <c r="BE6" i="13" l="1"/>
  <c r="BC5" i="13"/>
  <c r="BC7" i="13"/>
  <c r="BC6" i="13"/>
  <c r="BD5" i="13"/>
  <c r="BA6" i="13"/>
  <c r="BE7" i="13"/>
  <c r="BE8" i="13"/>
  <c r="BE9" i="13"/>
  <c r="BD6" i="13"/>
  <c r="BD7" i="13"/>
  <c r="BD8" i="13"/>
  <c r="BD9" i="13"/>
  <c r="BC8" i="13"/>
  <c r="BC9" i="13"/>
  <c r="AS7" i="13"/>
  <c r="BA7" i="13"/>
  <c r="BE5" i="13"/>
  <c r="N25" i="12"/>
  <c r="L25" i="12"/>
  <c r="T25" i="12" s="1"/>
  <c r="AR6" i="13"/>
  <c r="AR7" i="13"/>
  <c r="AU6" i="13"/>
  <c r="AU7" i="13"/>
  <c r="AT7" i="13"/>
  <c r="AV7" i="13"/>
  <c r="AR5" i="13"/>
  <c r="AS5" i="13"/>
  <c r="AU5" i="13"/>
  <c r="AV6" i="13"/>
  <c r="AT5" i="13"/>
  <c r="AV5" i="13"/>
  <c r="AS6" i="13"/>
  <c r="AT6" i="13"/>
  <c r="AN7" i="13"/>
  <c r="AO6" i="13"/>
  <c r="AN5" i="13"/>
  <c r="AO5" i="13"/>
  <c r="AN8" i="13"/>
  <c r="AO9" i="13"/>
  <c r="AN9" i="13"/>
  <c r="AO7" i="13"/>
  <c r="AO8" i="13"/>
  <c r="AN6" i="13"/>
  <c r="AB8" i="13"/>
  <c r="AJ7" i="13"/>
  <c r="AI7" i="13"/>
  <c r="AJ8" i="13"/>
  <c r="AI8" i="13"/>
  <c r="AJ5" i="13"/>
  <c r="AI5" i="13"/>
  <c r="AJ6" i="13"/>
  <c r="AI6" i="13"/>
  <c r="AD5" i="13"/>
  <c r="G25" i="12"/>
  <c r="H25" i="12"/>
  <c r="I25" i="12"/>
  <c r="Y2" i="12"/>
  <c r="O23" i="12"/>
  <c r="O24" i="12"/>
  <c r="P24" i="12"/>
  <c r="R24" i="12"/>
  <c r="S24" i="12"/>
  <c r="U24" i="12"/>
  <c r="V24" i="12"/>
  <c r="J24" i="12"/>
  <c r="K24" i="12" s="1"/>
  <c r="Q24" i="12" s="1"/>
  <c r="AP5" i="13" l="1"/>
  <c r="AP9" i="13"/>
  <c r="AW7" i="13"/>
  <c r="AW6" i="13"/>
  <c r="AW5" i="13"/>
  <c r="AP7" i="13"/>
  <c r="AP6" i="13"/>
  <c r="AK7" i="13"/>
  <c r="AL7" i="13" s="1"/>
  <c r="AP8" i="13"/>
  <c r="AK8" i="13"/>
  <c r="AL8" i="13" s="1"/>
  <c r="AK5" i="13"/>
  <c r="AL5" i="13" s="1"/>
  <c r="AK6" i="13"/>
  <c r="AL6" i="13" s="1"/>
  <c r="N24" i="12"/>
  <c r="L24" i="12"/>
  <c r="T24" i="12" s="1"/>
  <c r="G24" i="12" l="1"/>
  <c r="G23" i="12" l="1"/>
  <c r="G22" i="12"/>
  <c r="AB6" i="13"/>
  <c r="J23" i="12" l="1"/>
  <c r="N23" i="12" s="1"/>
  <c r="P23" i="12"/>
  <c r="J22" i="12"/>
  <c r="K22" i="12" s="1"/>
  <c r="P22" i="12"/>
  <c r="N22" i="12" l="1"/>
  <c r="G21" i="12"/>
  <c r="J21" i="12" l="1"/>
  <c r="K21" i="12" s="1"/>
  <c r="P21" i="12"/>
  <c r="N21" i="12"/>
  <c r="G20" i="12"/>
  <c r="Y4" i="12" l="1"/>
  <c r="Y5" i="12"/>
  <c r="AB7" i="12"/>
  <c r="AB6" i="12"/>
  <c r="AB5" i="12"/>
  <c r="AB4" i="12"/>
  <c r="Y8" i="12"/>
  <c r="P20" i="12"/>
  <c r="J20" i="12"/>
  <c r="G19" i="12"/>
  <c r="X6" i="12" l="1"/>
  <c r="Y6" i="12" s="1"/>
  <c r="X7" i="12"/>
  <c r="Y7" i="12" s="1"/>
  <c r="K20" i="12"/>
  <c r="N20" i="12"/>
  <c r="P19" i="12"/>
  <c r="J19" i="12"/>
  <c r="G18" i="12"/>
  <c r="J18" i="12" l="1"/>
  <c r="K18" i="12" s="1"/>
  <c r="K19" i="12"/>
  <c r="N19" i="12"/>
  <c r="P18" i="12"/>
  <c r="N18" i="12"/>
  <c r="G17" i="12" l="1"/>
  <c r="P17" i="12" s="1"/>
  <c r="J17" i="12"/>
  <c r="AE8" i="13"/>
  <c r="AE9" i="13"/>
  <c r="AE7" i="13"/>
  <c r="AE6" i="13"/>
  <c r="AE5" i="13"/>
  <c r="AG5" i="13" s="1"/>
  <c r="AD8" i="13"/>
  <c r="AG8" i="13" s="1"/>
  <c r="AD9" i="13"/>
  <c r="AD7" i="13"/>
  <c r="AD6" i="13"/>
  <c r="AB9" i="13"/>
  <c r="AB10" i="13"/>
  <c r="AB7" i="13"/>
  <c r="AB5" i="13"/>
  <c r="AB11" i="13"/>
  <c r="Z7" i="13"/>
  <c r="Z9" i="13"/>
  <c r="Z8" i="13"/>
  <c r="Z6" i="13"/>
  <c r="Z5" i="13"/>
  <c r="X6" i="13"/>
  <c r="W6" i="13"/>
  <c r="X5" i="13"/>
  <c r="W5" i="13"/>
  <c r="I2" i="13"/>
  <c r="H2" i="13"/>
  <c r="G16" i="12"/>
  <c r="P16" i="12" s="1"/>
  <c r="G15" i="12"/>
  <c r="J15" i="12" s="1"/>
  <c r="G14" i="12"/>
  <c r="P14" i="12" s="1"/>
  <c r="J14" i="12"/>
  <c r="K14" i="12" s="1"/>
  <c r="N14" i="12"/>
  <c r="G13" i="12"/>
  <c r="G11" i="12"/>
  <c r="J11" i="12" s="1"/>
  <c r="G12" i="12"/>
  <c r="P12" i="12" s="1"/>
  <c r="G10" i="12"/>
  <c r="G9" i="12"/>
  <c r="P9" i="12" s="1"/>
  <c r="G8" i="12"/>
  <c r="P8" i="12" s="1"/>
  <c r="G7" i="12"/>
  <c r="P7" i="12" s="1"/>
  <c r="J7" i="12"/>
  <c r="K7" i="12" s="1"/>
  <c r="G6" i="12"/>
  <c r="P6" i="12" s="1"/>
  <c r="B41" i="12"/>
  <c r="G3" i="12"/>
  <c r="J3" i="12" s="1"/>
  <c r="J4" i="12"/>
  <c r="K4" i="12" s="1"/>
  <c r="Q4" i="12" s="1"/>
  <c r="N4" i="12"/>
  <c r="J5" i="12"/>
  <c r="K5" i="12" s="1"/>
  <c r="K2" i="12"/>
  <c r="Q2" i="12" s="1"/>
  <c r="J2" i="12"/>
  <c r="N2" i="12" s="1"/>
  <c r="C33" i="11"/>
  <c r="B33" i="11"/>
  <c r="W7" i="11"/>
  <c r="W6" i="11"/>
  <c r="W5" i="11"/>
  <c r="E32" i="11"/>
  <c r="H32" i="11"/>
  <c r="L32" i="11"/>
  <c r="E31" i="11"/>
  <c r="N31" i="11"/>
  <c r="E30" i="11"/>
  <c r="H30" i="11"/>
  <c r="E29" i="11"/>
  <c r="E28" i="11"/>
  <c r="N28" i="11"/>
  <c r="E27" i="11"/>
  <c r="N27" i="11"/>
  <c r="E26" i="11"/>
  <c r="H26" i="11"/>
  <c r="E25" i="11"/>
  <c r="N25" i="11"/>
  <c r="W2" i="11"/>
  <c r="T6" i="11"/>
  <c r="H2" i="11"/>
  <c r="E6" i="11"/>
  <c r="H6" i="11"/>
  <c r="L6" i="11"/>
  <c r="I2" i="11"/>
  <c r="O2" i="11"/>
  <c r="Q2" i="11"/>
  <c r="E3" i="11"/>
  <c r="F3" i="11"/>
  <c r="I3" i="11"/>
  <c r="E5" i="11"/>
  <c r="L5" i="10"/>
  <c r="N6" i="10"/>
  <c r="E24" i="11"/>
  <c r="H24" i="11"/>
  <c r="E23" i="11"/>
  <c r="E22" i="11"/>
  <c r="E21" i="11"/>
  <c r="E20" i="11"/>
  <c r="H20" i="11"/>
  <c r="E19" i="11"/>
  <c r="E18" i="11"/>
  <c r="N18" i="11"/>
  <c r="E17" i="11"/>
  <c r="H17" i="11"/>
  <c r="E16" i="11"/>
  <c r="N16" i="11"/>
  <c r="E15" i="11"/>
  <c r="H15" i="11"/>
  <c r="E14" i="11"/>
  <c r="N14" i="11"/>
  <c r="E13" i="11"/>
  <c r="N13" i="11"/>
  <c r="E12" i="11"/>
  <c r="N12" i="11"/>
  <c r="E11" i="11"/>
  <c r="E10" i="11"/>
  <c r="N10" i="11"/>
  <c r="E9" i="11"/>
  <c r="Q9" i="11"/>
  <c r="V8" i="11"/>
  <c r="E8" i="11"/>
  <c r="E7" i="11"/>
  <c r="H7" i="11"/>
  <c r="L7" i="11"/>
  <c r="E4" i="11"/>
  <c r="F4" i="11"/>
  <c r="I4" i="11"/>
  <c r="O4" i="11"/>
  <c r="G26" i="10"/>
  <c r="E23" i="10"/>
  <c r="E24" i="10"/>
  <c r="G23" i="10"/>
  <c r="G24" i="10"/>
  <c r="I23" i="10"/>
  <c r="E22" i="10"/>
  <c r="G22" i="10"/>
  <c r="D24" i="10"/>
  <c r="I24" i="10"/>
  <c r="L7" i="10"/>
  <c r="L6" i="10"/>
  <c r="E21" i="10"/>
  <c r="G21" i="10"/>
  <c r="D23" i="10"/>
  <c r="E20" i="10"/>
  <c r="G20" i="10"/>
  <c r="D22" i="10"/>
  <c r="I22" i="10"/>
  <c r="E19" i="10"/>
  <c r="G19" i="10"/>
  <c r="E18" i="10"/>
  <c r="G18" i="10"/>
  <c r="D20" i="10"/>
  <c r="D21" i="10"/>
  <c r="E17" i="10"/>
  <c r="G17" i="10"/>
  <c r="E16" i="10"/>
  <c r="G16" i="10"/>
  <c r="E15" i="10"/>
  <c r="G15" i="10"/>
  <c r="D17" i="10"/>
  <c r="E14" i="10"/>
  <c r="G14" i="10"/>
  <c r="E13" i="10"/>
  <c r="G13" i="10"/>
  <c r="D16" i="10"/>
  <c r="D14" i="10"/>
  <c r="D13" i="10"/>
  <c r="D12" i="10"/>
  <c r="I12" i="10"/>
  <c r="E9" i="10"/>
  <c r="G9" i="10"/>
  <c r="E3" i="10"/>
  <c r="G3" i="10"/>
  <c r="L2" i="10"/>
  <c r="C25" i="10"/>
  <c r="B25" i="10"/>
  <c r="D19" i="10"/>
  <c r="I19" i="10"/>
  <c r="D18" i="10"/>
  <c r="D15" i="10"/>
  <c r="I15" i="10"/>
  <c r="D11" i="10"/>
  <c r="E11" i="10"/>
  <c r="G11" i="10"/>
  <c r="D10" i="10"/>
  <c r="E10" i="10"/>
  <c r="G10" i="10"/>
  <c r="D9" i="10"/>
  <c r="K8" i="10"/>
  <c r="D8" i="10"/>
  <c r="E8" i="10"/>
  <c r="G8" i="10"/>
  <c r="D7" i="10"/>
  <c r="E7" i="10"/>
  <c r="G7" i="10"/>
  <c r="D6" i="10"/>
  <c r="E6" i="10"/>
  <c r="G6" i="10"/>
  <c r="D5" i="10"/>
  <c r="E5" i="10"/>
  <c r="G5" i="10"/>
  <c r="D4" i="10"/>
  <c r="E4" i="10"/>
  <c r="G4" i="10"/>
  <c r="D3" i="10"/>
  <c r="I3" i="10"/>
  <c r="I2" i="10"/>
  <c r="E2" i="10"/>
  <c r="G2" i="10"/>
  <c r="N7" i="8"/>
  <c r="N6" i="8"/>
  <c r="N5" i="8"/>
  <c r="L7" i="8"/>
  <c r="M7" i="8"/>
  <c r="L6" i="8"/>
  <c r="L5" i="8"/>
  <c r="E21" i="8"/>
  <c r="G21" i="8"/>
  <c r="E20" i="8"/>
  <c r="G20" i="8"/>
  <c r="E19" i="8"/>
  <c r="G19" i="8"/>
  <c r="E18" i="8"/>
  <c r="G18" i="8"/>
  <c r="E17" i="8"/>
  <c r="G17" i="8"/>
  <c r="E16" i="8"/>
  <c r="G16" i="8"/>
  <c r="E15" i="8"/>
  <c r="G15" i="8"/>
  <c r="E14" i="8"/>
  <c r="G14" i="8"/>
  <c r="E13" i="8"/>
  <c r="G13" i="8"/>
  <c r="E12" i="8"/>
  <c r="G12" i="8"/>
  <c r="G11" i="8"/>
  <c r="E11" i="8"/>
  <c r="E10" i="8"/>
  <c r="G10" i="8"/>
  <c r="E9" i="8"/>
  <c r="G9" i="8"/>
  <c r="E8" i="8"/>
  <c r="G8" i="8"/>
  <c r="K8" i="8"/>
  <c r="L2" i="8"/>
  <c r="E7" i="8"/>
  <c r="G7" i="8"/>
  <c r="E6" i="8"/>
  <c r="G6" i="8"/>
  <c r="R15" i="12"/>
  <c r="H25" i="11"/>
  <c r="N26" i="11"/>
  <c r="H27" i="11"/>
  <c r="H29" i="11"/>
  <c r="L29" i="11"/>
  <c r="X7" i="11"/>
  <c r="N24" i="11"/>
  <c r="H28" i="11"/>
  <c r="L28" i="11"/>
  <c r="X6" i="11"/>
  <c r="L30" i="11"/>
  <c r="H31" i="11"/>
  <c r="M31" i="11"/>
  <c r="N30" i="11"/>
  <c r="M32" i="11"/>
  <c r="N29" i="11"/>
  <c r="N32" i="11"/>
  <c r="M30" i="11"/>
  <c r="M29" i="11"/>
  <c r="M28" i="11"/>
  <c r="L27" i="11"/>
  <c r="M25" i="11"/>
  <c r="M19" i="11"/>
  <c r="M26" i="11"/>
  <c r="M27" i="11"/>
  <c r="L26" i="11"/>
  <c r="L25" i="11"/>
  <c r="M22" i="11"/>
  <c r="M24" i="11"/>
  <c r="L24" i="11"/>
  <c r="M21" i="11"/>
  <c r="N15" i="11"/>
  <c r="N19" i="11"/>
  <c r="H23" i="11"/>
  <c r="L23" i="11"/>
  <c r="N7" i="11"/>
  <c r="M18" i="11"/>
  <c r="H22" i="11"/>
  <c r="L22" i="11"/>
  <c r="M23" i="11"/>
  <c r="H13" i="11"/>
  <c r="L13" i="11"/>
  <c r="N21" i="11"/>
  <c r="M17" i="11"/>
  <c r="H21" i="11"/>
  <c r="L21" i="11"/>
  <c r="H14" i="11"/>
  <c r="L14" i="11"/>
  <c r="H18" i="11"/>
  <c r="L18" i="11"/>
  <c r="N22" i="11"/>
  <c r="L15" i="11"/>
  <c r="L20" i="11"/>
  <c r="M16" i="11"/>
  <c r="N20" i="11"/>
  <c r="H10" i="11"/>
  <c r="L10" i="11"/>
  <c r="H12" i="11"/>
  <c r="N17" i="11"/>
  <c r="H19" i="11"/>
  <c r="M20" i="11"/>
  <c r="H16" i="11"/>
  <c r="N9" i="11"/>
  <c r="M15" i="11"/>
  <c r="N23" i="11"/>
  <c r="L17" i="11"/>
  <c r="M14" i="11"/>
  <c r="P2" i="11"/>
  <c r="M13" i="11"/>
  <c r="M12" i="11"/>
  <c r="M8" i="11"/>
  <c r="M11" i="11"/>
  <c r="M9" i="11"/>
  <c r="M7" i="11"/>
  <c r="H9" i="11"/>
  <c r="M6" i="11"/>
  <c r="N8" i="11"/>
  <c r="M10" i="11"/>
  <c r="H8" i="11"/>
  <c r="X5" i="11"/>
  <c r="Y5" i="11"/>
  <c r="N6" i="11"/>
  <c r="S6" i="11"/>
  <c r="H11" i="11"/>
  <c r="N11" i="11"/>
  <c r="L2" i="11"/>
  <c r="H3" i="11"/>
  <c r="L3" i="11"/>
  <c r="H4" i="11"/>
  <c r="L4" i="11"/>
  <c r="F5" i="11"/>
  <c r="F6" i="11"/>
  <c r="B39" i="11"/>
  <c r="B40" i="11"/>
  <c r="O3" i="11"/>
  <c r="P7" i="11"/>
  <c r="P3" i="11"/>
  <c r="P8" i="11"/>
  <c r="P5" i="11"/>
  <c r="Q4" i="11"/>
  <c r="Q3" i="11"/>
  <c r="P4" i="11"/>
  <c r="Q8" i="11"/>
  <c r="Q10" i="11"/>
  <c r="Q5" i="11"/>
  <c r="Q7" i="11"/>
  <c r="H23" i="10"/>
  <c r="G25" i="10"/>
  <c r="E12" i="10"/>
  <c r="G12" i="10"/>
  <c r="M7" i="10"/>
  <c r="M6" i="10"/>
  <c r="H19" i="10"/>
  <c r="H2" i="10"/>
  <c r="H7" i="10"/>
  <c r="H4" i="10"/>
  <c r="H13" i="10"/>
  <c r="H20" i="10"/>
  <c r="H6" i="10"/>
  <c r="H9" i="10"/>
  <c r="H11" i="10"/>
  <c r="H16" i="10"/>
  <c r="H18" i="10"/>
  <c r="H5" i="10"/>
  <c r="H14" i="10"/>
  <c r="H21" i="10"/>
  <c r="L8" i="10"/>
  <c r="H8" i="10"/>
  <c r="H10" i="10"/>
  <c r="H17" i="10"/>
  <c r="H22" i="10"/>
  <c r="I4" i="10"/>
  <c r="I9" i="10"/>
  <c r="I13" i="10"/>
  <c r="I16" i="10"/>
  <c r="I20" i="10"/>
  <c r="I5" i="10"/>
  <c r="I6" i="10"/>
  <c r="I7" i="10"/>
  <c r="I8" i="10"/>
  <c r="I10" i="10"/>
  <c r="I14" i="10"/>
  <c r="I17" i="10"/>
  <c r="I21" i="10"/>
  <c r="H3" i="10"/>
  <c r="I11" i="10"/>
  <c r="H12" i="10"/>
  <c r="H15" i="10"/>
  <c r="I18" i="10"/>
  <c r="H24" i="10"/>
  <c r="M5" i="10"/>
  <c r="N5" i="10"/>
  <c r="M5" i="8"/>
  <c r="L8" i="8"/>
  <c r="E5" i="8"/>
  <c r="G5" i="8"/>
  <c r="M6" i="8"/>
  <c r="G4" i="8"/>
  <c r="E4" i="8"/>
  <c r="E3" i="8"/>
  <c r="G3" i="8"/>
  <c r="E2" i="8"/>
  <c r="G2" i="8"/>
  <c r="C24" i="8"/>
  <c r="B24" i="8"/>
  <c r="I2" i="8"/>
  <c r="D3" i="8"/>
  <c r="E16" i="7"/>
  <c r="G16" i="7"/>
  <c r="E15" i="7"/>
  <c r="G15" i="7"/>
  <c r="E14" i="7"/>
  <c r="G14" i="7"/>
  <c r="E13" i="7"/>
  <c r="G13" i="7"/>
  <c r="E12" i="7"/>
  <c r="G12" i="7"/>
  <c r="E11" i="7"/>
  <c r="G11" i="7"/>
  <c r="E10" i="7"/>
  <c r="G10" i="7"/>
  <c r="E9" i="7"/>
  <c r="G9" i="7"/>
  <c r="E8" i="7"/>
  <c r="G8" i="7"/>
  <c r="E7" i="7"/>
  <c r="G7" i="7"/>
  <c r="E6" i="7"/>
  <c r="G6" i="7"/>
  <c r="E5" i="7"/>
  <c r="G5" i="7"/>
  <c r="L6" i="7"/>
  <c r="L5" i="7"/>
  <c r="H2" i="7"/>
  <c r="D32" i="7"/>
  <c r="C33" i="7"/>
  <c r="B33" i="7"/>
  <c r="D31" i="7"/>
  <c r="D30" i="7"/>
  <c r="H30" i="7"/>
  <c r="D29" i="7"/>
  <c r="I29" i="7"/>
  <c r="D28" i="7"/>
  <c r="D27" i="7"/>
  <c r="I27" i="7"/>
  <c r="D26" i="7"/>
  <c r="H26" i="7"/>
  <c r="D25" i="7"/>
  <c r="I25" i="7"/>
  <c r="D24" i="7"/>
  <c r="D23" i="7"/>
  <c r="I23" i="7"/>
  <c r="D22" i="7"/>
  <c r="H22" i="7"/>
  <c r="D21" i="7"/>
  <c r="I21" i="7"/>
  <c r="D20" i="7"/>
  <c r="D19" i="7"/>
  <c r="I19" i="7"/>
  <c r="D18" i="7"/>
  <c r="H18" i="7"/>
  <c r="D17" i="7"/>
  <c r="I17" i="7"/>
  <c r="D16" i="7"/>
  <c r="I16" i="7"/>
  <c r="D15" i="7"/>
  <c r="H15" i="7"/>
  <c r="D14" i="7"/>
  <c r="D13" i="7"/>
  <c r="I13" i="7"/>
  <c r="D12" i="7"/>
  <c r="H12" i="7"/>
  <c r="D11" i="7"/>
  <c r="I11" i="7"/>
  <c r="D10" i="7"/>
  <c r="D9" i="7"/>
  <c r="I9" i="7"/>
  <c r="D8" i="7"/>
  <c r="H8" i="7"/>
  <c r="D7" i="7"/>
  <c r="I7" i="7"/>
  <c r="D6" i="7"/>
  <c r="I6" i="7"/>
  <c r="D5" i="7"/>
  <c r="I5" i="7"/>
  <c r="F25" i="6"/>
  <c r="H25" i="6"/>
  <c r="F24" i="6"/>
  <c r="H24" i="6"/>
  <c r="F23" i="6"/>
  <c r="H23" i="6"/>
  <c r="F22" i="6"/>
  <c r="H22" i="6"/>
  <c r="F21" i="6"/>
  <c r="H21" i="6"/>
  <c r="F20" i="6"/>
  <c r="H20" i="6"/>
  <c r="Y7" i="11"/>
  <c r="Y6" i="11"/>
  <c r="L31" i="11"/>
  <c r="L12" i="11"/>
  <c r="L16" i="11"/>
  <c r="L19" i="11"/>
  <c r="L11" i="11"/>
  <c r="L9" i="11"/>
  <c r="L8" i="11"/>
  <c r="I5" i="11"/>
  <c r="H5" i="11"/>
  <c r="P6" i="11"/>
  <c r="Q6" i="11"/>
  <c r="W8" i="11"/>
  <c r="J14" i="10"/>
  <c r="G24" i="8"/>
  <c r="H3" i="8"/>
  <c r="H2" i="8"/>
  <c r="I3" i="8"/>
  <c r="I32" i="7"/>
  <c r="H32" i="7"/>
  <c r="I2" i="7"/>
  <c r="H5" i="7"/>
  <c r="H6" i="7"/>
  <c r="H7" i="7"/>
  <c r="H9" i="7"/>
  <c r="H11" i="7"/>
  <c r="H13" i="7"/>
  <c r="H31" i="7"/>
  <c r="H16" i="7"/>
  <c r="H17" i="7"/>
  <c r="H19" i="7"/>
  <c r="H21" i="7"/>
  <c r="H23" i="7"/>
  <c r="H25" i="7"/>
  <c r="H27" i="7"/>
  <c r="H29" i="7"/>
  <c r="I15" i="7"/>
  <c r="I26" i="7"/>
  <c r="I30" i="7"/>
  <c r="H10" i="7"/>
  <c r="H14" i="7"/>
  <c r="H20" i="7"/>
  <c r="H24" i="7"/>
  <c r="H28" i="7"/>
  <c r="I31" i="7"/>
  <c r="I8" i="7"/>
  <c r="I22" i="7"/>
  <c r="I10" i="7"/>
  <c r="I14" i="7"/>
  <c r="I20" i="7"/>
  <c r="I24" i="7"/>
  <c r="I28" i="7"/>
  <c r="I12" i="7"/>
  <c r="I18" i="7"/>
  <c r="F19" i="6"/>
  <c r="H19" i="6"/>
  <c r="F18" i="6"/>
  <c r="H18" i="6"/>
  <c r="F17" i="6"/>
  <c r="H17" i="6"/>
  <c r="M6" i="6"/>
  <c r="M5" i="6"/>
  <c r="F16" i="6"/>
  <c r="H16" i="6"/>
  <c r="F15" i="6"/>
  <c r="H15" i="6"/>
  <c r="F14" i="6"/>
  <c r="H14" i="6"/>
  <c r="B9" i="5"/>
  <c r="E3" i="6"/>
  <c r="E4" i="6"/>
  <c r="E5" i="6"/>
  <c r="E6" i="6"/>
  <c r="E7" i="6"/>
  <c r="E8" i="6"/>
  <c r="E9" i="6"/>
  <c r="E10" i="6"/>
  <c r="E11" i="6"/>
  <c r="E2" i="6"/>
  <c r="F2" i="6"/>
  <c r="O5" i="11"/>
  <c r="L5" i="11"/>
  <c r="D4" i="8"/>
  <c r="H4" i="8"/>
  <c r="F10" i="6"/>
  <c r="H10" i="6"/>
  <c r="F5" i="6"/>
  <c r="H5" i="6"/>
  <c r="H2" i="6"/>
  <c r="F8" i="6"/>
  <c r="H8" i="6"/>
  <c r="F4" i="6"/>
  <c r="H4" i="6"/>
  <c r="F6" i="6"/>
  <c r="H6" i="6"/>
  <c r="F9" i="6"/>
  <c r="H9" i="6"/>
  <c r="H7" i="6"/>
  <c r="F11" i="6"/>
  <c r="H11" i="6"/>
  <c r="F7" i="6"/>
  <c r="F3" i="6"/>
  <c r="H3" i="6"/>
  <c r="D26" i="6"/>
  <c r="L33" i="11"/>
  <c r="L34" i="11"/>
  <c r="I4" i="8"/>
  <c r="B26" i="6"/>
  <c r="N16" i="1"/>
  <c r="D5" i="8"/>
  <c r="H5" i="8"/>
  <c r="E34" i="1"/>
  <c r="C26" i="6"/>
  <c r="E25" i="6"/>
  <c r="J25" i="6"/>
  <c r="E24" i="6"/>
  <c r="J24" i="6"/>
  <c r="E23" i="6"/>
  <c r="E22" i="6"/>
  <c r="J22" i="6"/>
  <c r="E21" i="6"/>
  <c r="J21" i="6"/>
  <c r="E20" i="6"/>
  <c r="J20" i="6"/>
  <c r="E19" i="6"/>
  <c r="E18" i="6"/>
  <c r="J18" i="6"/>
  <c r="E17" i="6"/>
  <c r="J17" i="6"/>
  <c r="E16" i="6"/>
  <c r="J16" i="6"/>
  <c r="E15" i="6"/>
  <c r="J15" i="6"/>
  <c r="E14" i="6"/>
  <c r="E13" i="6"/>
  <c r="E12" i="6"/>
  <c r="F12" i="6"/>
  <c r="J11" i="6"/>
  <c r="J8" i="6"/>
  <c r="J7" i="6"/>
  <c r="J2" i="6"/>
  <c r="I2" i="6"/>
  <c r="M5" i="1"/>
  <c r="K14" i="1"/>
  <c r="I5" i="8"/>
  <c r="F13" i="6"/>
  <c r="H13" i="6"/>
  <c r="J12" i="6"/>
  <c r="H12" i="6"/>
  <c r="J5" i="6"/>
  <c r="I5" i="6"/>
  <c r="I10" i="6"/>
  <c r="I21" i="6"/>
  <c r="I20" i="6"/>
  <c r="I11" i="6"/>
  <c r="I17" i="6"/>
  <c r="I14" i="6"/>
  <c r="I7" i="6"/>
  <c r="I24" i="6"/>
  <c r="I25" i="6"/>
  <c r="I3" i="6"/>
  <c r="J3" i="6"/>
  <c r="J6" i="6"/>
  <c r="J9" i="6"/>
  <c r="J23" i="6"/>
  <c r="J10" i="6"/>
  <c r="J14" i="6"/>
  <c r="I8" i="6"/>
  <c r="I12" i="6"/>
  <c r="I15" i="6"/>
  <c r="I18" i="6"/>
  <c r="I22" i="6"/>
  <c r="I6" i="6"/>
  <c r="I9" i="6"/>
  <c r="I13" i="6"/>
  <c r="I16" i="6"/>
  <c r="I19" i="6"/>
  <c r="I23" i="6"/>
  <c r="J13" i="6"/>
  <c r="J19" i="6"/>
  <c r="E33" i="1"/>
  <c r="C35" i="1"/>
  <c r="B35" i="1"/>
  <c r="H35" i="1"/>
  <c r="D6" i="8"/>
  <c r="H6" i="8"/>
  <c r="F26" i="6"/>
  <c r="K14" i="6"/>
  <c r="I4" i="6"/>
  <c r="J4" i="6"/>
  <c r="M6" i="1"/>
  <c r="I6" i="8"/>
  <c r="H26" i="6"/>
  <c r="D26" i="1"/>
  <c r="D27" i="1"/>
  <c r="D28" i="1"/>
  <c r="D29" i="1"/>
  <c r="D30" i="1"/>
  <c r="D31" i="1"/>
  <c r="D32" i="1"/>
  <c r="D33" i="1"/>
  <c r="I33" i="1"/>
  <c r="D34" i="1"/>
  <c r="I34" i="1"/>
  <c r="J2" i="1"/>
  <c r="I2" i="1"/>
  <c r="D7" i="8"/>
  <c r="H7" i="8"/>
  <c r="J31" i="1"/>
  <c r="E31" i="1"/>
  <c r="I30" i="1"/>
  <c r="E30" i="1"/>
  <c r="H30" i="1"/>
  <c r="I26" i="1"/>
  <c r="E26" i="1"/>
  <c r="J27" i="1"/>
  <c r="E27" i="1"/>
  <c r="I29" i="1"/>
  <c r="E29" i="1"/>
  <c r="J32" i="1"/>
  <c r="E32" i="1"/>
  <c r="J28" i="1"/>
  <c r="E28" i="1"/>
  <c r="H28" i="1"/>
  <c r="I32" i="1"/>
  <c r="J34" i="1"/>
  <c r="I28" i="1"/>
  <c r="J30" i="1"/>
  <c r="H34" i="1"/>
  <c r="H26" i="1"/>
  <c r="J26" i="1"/>
  <c r="J33" i="1"/>
  <c r="J29" i="1"/>
  <c r="I31" i="1"/>
  <c r="I27" i="1"/>
  <c r="H33" i="1"/>
  <c r="H31" i="1"/>
  <c r="H29" i="1"/>
  <c r="H27" i="1"/>
  <c r="G2" i="1"/>
  <c r="D3" i="1"/>
  <c r="H2" i="1"/>
  <c r="I7" i="8"/>
  <c r="H32" i="1"/>
  <c r="H3" i="1"/>
  <c r="G3" i="1"/>
  <c r="D4" i="1"/>
  <c r="E4" i="1"/>
  <c r="J3" i="1"/>
  <c r="I3" i="1"/>
  <c r="D8" i="8"/>
  <c r="H8" i="8"/>
  <c r="D5" i="1"/>
  <c r="E5" i="1"/>
  <c r="J4" i="1"/>
  <c r="I4" i="1"/>
  <c r="H4" i="1"/>
  <c r="I8" i="8"/>
  <c r="J5" i="1"/>
  <c r="I5" i="1"/>
  <c r="H5" i="1"/>
  <c r="D6" i="1"/>
  <c r="E6" i="1"/>
  <c r="D9" i="8"/>
  <c r="H9" i="8"/>
  <c r="J6" i="1"/>
  <c r="D7" i="1"/>
  <c r="E7" i="1"/>
  <c r="H6" i="1"/>
  <c r="I6" i="1"/>
  <c r="I9" i="8"/>
  <c r="H7" i="1"/>
  <c r="D8" i="1"/>
  <c r="E8" i="1"/>
  <c r="J7" i="1"/>
  <c r="I7" i="1"/>
  <c r="D10" i="8"/>
  <c r="H10" i="8"/>
  <c r="J8" i="1"/>
  <c r="I8" i="1"/>
  <c r="H8" i="1"/>
  <c r="I10" i="8"/>
  <c r="D9" i="1"/>
  <c r="E9" i="1"/>
  <c r="D11" i="8"/>
  <c r="H11" i="8"/>
  <c r="H9" i="1"/>
  <c r="D10" i="1"/>
  <c r="E10" i="1"/>
  <c r="J9" i="1"/>
  <c r="I9" i="1"/>
  <c r="I11" i="8"/>
  <c r="D11" i="1"/>
  <c r="E11" i="1"/>
  <c r="J10" i="1"/>
  <c r="I10" i="1"/>
  <c r="H10" i="1"/>
  <c r="D12" i="8"/>
  <c r="H12" i="8"/>
  <c r="H11" i="1"/>
  <c r="D12" i="1"/>
  <c r="E12" i="1"/>
  <c r="J11" i="1"/>
  <c r="I11" i="1"/>
  <c r="I12" i="8"/>
  <c r="D13" i="1"/>
  <c r="E13" i="1"/>
  <c r="I12" i="1"/>
  <c r="J12" i="1"/>
  <c r="H12" i="1"/>
  <c r="D13" i="8"/>
  <c r="H13" i="8"/>
  <c r="D14" i="1"/>
  <c r="H13" i="1"/>
  <c r="J13" i="1"/>
  <c r="I13" i="1"/>
  <c r="D15" i="1"/>
  <c r="E15" i="1"/>
  <c r="I13" i="8"/>
  <c r="E14" i="1"/>
  <c r="H14" i="1"/>
  <c r="J14" i="1"/>
  <c r="I14" i="1"/>
  <c r="H15" i="1"/>
  <c r="D16" i="1"/>
  <c r="E16" i="1"/>
  <c r="J15" i="1"/>
  <c r="I15" i="1"/>
  <c r="D14" i="8"/>
  <c r="H14" i="8"/>
  <c r="H16" i="1"/>
  <c r="J16" i="1"/>
  <c r="I16" i="1"/>
  <c r="D17" i="1"/>
  <c r="E17" i="1"/>
  <c r="I14" i="8"/>
  <c r="J17" i="1"/>
  <c r="I17" i="1"/>
  <c r="H17" i="1"/>
  <c r="D18" i="1"/>
  <c r="E18" i="1"/>
  <c r="D15" i="8"/>
  <c r="H15" i="8"/>
  <c r="I18" i="1"/>
  <c r="H18" i="1"/>
  <c r="D19" i="1"/>
  <c r="E19" i="1"/>
  <c r="J18" i="1"/>
  <c r="I15" i="8"/>
  <c r="I19" i="1"/>
  <c r="D20" i="1"/>
  <c r="E20" i="1"/>
  <c r="H19" i="1"/>
  <c r="J19" i="1"/>
  <c r="D16" i="8"/>
  <c r="H16" i="8"/>
  <c r="H20" i="1"/>
  <c r="J20" i="1"/>
  <c r="I20" i="1"/>
  <c r="D21" i="1"/>
  <c r="E21" i="1"/>
  <c r="I16" i="8"/>
  <c r="J21" i="1"/>
  <c r="I21" i="1"/>
  <c r="H21" i="1"/>
  <c r="D22" i="1"/>
  <c r="E22" i="1"/>
  <c r="D17" i="8"/>
  <c r="H17" i="8"/>
  <c r="D23" i="1"/>
  <c r="E23" i="1"/>
  <c r="I22" i="1"/>
  <c r="J22" i="1"/>
  <c r="H22" i="1"/>
  <c r="I17" i="8"/>
  <c r="J23" i="1"/>
  <c r="I23" i="1"/>
  <c r="H23" i="1"/>
  <c r="D24" i="1"/>
  <c r="E24" i="1"/>
  <c r="D18" i="8"/>
  <c r="H18" i="8"/>
  <c r="J24" i="1"/>
  <c r="I24" i="1"/>
  <c r="H24" i="1"/>
  <c r="D25" i="1"/>
  <c r="E25" i="1"/>
  <c r="I18" i="8"/>
  <c r="J25" i="1"/>
  <c r="I25" i="1"/>
  <c r="H25" i="1"/>
  <c r="D19" i="8"/>
  <c r="H19" i="8"/>
  <c r="D3" i="7"/>
  <c r="G2" i="7"/>
  <c r="I19" i="8"/>
  <c r="E3" i="7"/>
  <c r="G3" i="7"/>
  <c r="I3" i="7"/>
  <c r="D4" i="7"/>
  <c r="E4" i="7"/>
  <c r="G4" i="7"/>
  <c r="H3" i="7"/>
  <c r="D20" i="8"/>
  <c r="H20" i="8"/>
  <c r="H4" i="7"/>
  <c r="I4" i="7"/>
  <c r="G33" i="7"/>
  <c r="J14" i="7"/>
  <c r="I20" i="8"/>
  <c r="D21" i="8"/>
  <c r="H21" i="8"/>
  <c r="I21" i="8"/>
  <c r="D22" i="8"/>
  <c r="H22" i="8"/>
  <c r="I22" i="8"/>
  <c r="D23" i="8"/>
  <c r="H23" i="8"/>
  <c r="I23" i="8"/>
  <c r="J14" i="8"/>
  <c r="J23" i="11"/>
  <c r="I23" i="11"/>
  <c r="I22" i="11"/>
  <c r="J22" i="11"/>
  <c r="J21" i="11"/>
  <c r="I21" i="11"/>
  <c r="I20" i="11"/>
  <c r="J20" i="11"/>
  <c r="J19" i="11"/>
  <c r="I19" i="11"/>
  <c r="I18" i="11"/>
  <c r="J18" i="11"/>
  <c r="J17" i="11"/>
  <c r="I17" i="11"/>
  <c r="I16" i="11"/>
  <c r="J16" i="11"/>
  <c r="I15" i="11"/>
  <c r="J15" i="11"/>
  <c r="J14" i="11"/>
  <c r="I14" i="11"/>
  <c r="I13" i="11"/>
  <c r="J13" i="11"/>
  <c r="J12" i="11"/>
  <c r="I12" i="11"/>
  <c r="I11" i="11"/>
  <c r="J11" i="11"/>
  <c r="J10" i="11"/>
  <c r="I10" i="11"/>
  <c r="I9" i="11"/>
  <c r="I8" i="11"/>
  <c r="J8" i="11"/>
  <c r="I7" i="11"/>
  <c r="J7" i="11"/>
  <c r="J26" i="11"/>
  <c r="J25" i="11"/>
  <c r="I27" i="11"/>
  <c r="I25" i="11"/>
  <c r="I26" i="11"/>
  <c r="I24" i="11"/>
  <c r="I6" i="11"/>
  <c r="J9" i="11"/>
  <c r="J6" i="11"/>
  <c r="O6" i="11"/>
  <c r="G7" i="11"/>
  <c r="G8" i="11"/>
  <c r="R6" i="11"/>
  <c r="F7" i="11"/>
  <c r="F8" i="11"/>
  <c r="F9" i="11"/>
  <c r="J24" i="11"/>
  <c r="J27" i="11"/>
  <c r="R7" i="11"/>
  <c r="T7" i="11"/>
  <c r="S7" i="11"/>
  <c r="O8" i="11"/>
  <c r="P9" i="11"/>
  <c r="O9" i="11"/>
  <c r="F10" i="11"/>
  <c r="S8" i="11"/>
  <c r="T8" i="11"/>
  <c r="G9" i="11"/>
  <c r="R8" i="11"/>
  <c r="O7" i="11"/>
  <c r="P10" i="11"/>
  <c r="F11" i="11"/>
  <c r="O10" i="11"/>
  <c r="S9" i="11"/>
  <c r="T9" i="11"/>
  <c r="G10" i="11"/>
  <c r="R9" i="11"/>
  <c r="G11" i="11"/>
  <c r="S10" i="11"/>
  <c r="T10" i="11"/>
  <c r="R10" i="11"/>
  <c r="P11" i="11"/>
  <c r="Q11" i="11"/>
  <c r="F12" i="11"/>
  <c r="O11" i="11"/>
  <c r="P12" i="11"/>
  <c r="F13" i="11"/>
  <c r="Q12" i="11"/>
  <c r="O12" i="11"/>
  <c r="G12" i="11"/>
  <c r="S11" i="11"/>
  <c r="T11" i="11"/>
  <c r="R11" i="11"/>
  <c r="P13" i="11"/>
  <c r="Q13" i="11"/>
  <c r="F14" i="11"/>
  <c r="O13" i="11"/>
  <c r="S12" i="11"/>
  <c r="T12" i="11"/>
  <c r="G13" i="11"/>
  <c r="R12" i="11"/>
  <c r="F15" i="11"/>
  <c r="P14" i="11"/>
  <c r="Q14" i="11"/>
  <c r="O14" i="11"/>
  <c r="S13" i="11"/>
  <c r="T13" i="11"/>
  <c r="G14" i="11"/>
  <c r="R13" i="11"/>
  <c r="T14" i="11"/>
  <c r="G15" i="11"/>
  <c r="S14" i="11"/>
  <c r="R14" i="11"/>
  <c r="P15" i="11"/>
  <c r="Q15" i="11"/>
  <c r="F16" i="11"/>
  <c r="O15" i="11"/>
  <c r="P16" i="11"/>
  <c r="Q16" i="11"/>
  <c r="F17" i="11"/>
  <c r="O16" i="11"/>
  <c r="S15" i="11"/>
  <c r="T15" i="11"/>
  <c r="G16" i="11"/>
  <c r="R15" i="11"/>
  <c r="T16" i="11"/>
  <c r="G17" i="11"/>
  <c r="S16" i="11"/>
  <c r="R16" i="11"/>
  <c r="P17" i="11"/>
  <c r="Q17" i="11"/>
  <c r="F18" i="11"/>
  <c r="O17" i="11"/>
  <c r="S17" i="11"/>
  <c r="T17" i="11"/>
  <c r="G18" i="11"/>
  <c r="R17" i="11"/>
  <c r="P18" i="11"/>
  <c r="F19" i="11"/>
  <c r="Q18" i="11"/>
  <c r="O18" i="11"/>
  <c r="G19" i="11"/>
  <c r="T18" i="11"/>
  <c r="S18" i="11"/>
  <c r="R18" i="11"/>
  <c r="F20" i="11"/>
  <c r="Q19" i="11"/>
  <c r="P19" i="11"/>
  <c r="O19" i="11"/>
  <c r="P20" i="11"/>
  <c r="Q20" i="11"/>
  <c r="F21" i="11"/>
  <c r="O20" i="11"/>
  <c r="T19" i="11"/>
  <c r="S19" i="11"/>
  <c r="G20" i="11"/>
  <c r="R19" i="11"/>
  <c r="Q21" i="11"/>
  <c r="P21" i="11"/>
  <c r="F22" i="11"/>
  <c r="O21" i="11"/>
  <c r="S20" i="11"/>
  <c r="G21" i="11"/>
  <c r="T20" i="11"/>
  <c r="R20" i="11"/>
  <c r="S21" i="11"/>
  <c r="T21" i="11"/>
  <c r="G22" i="11"/>
  <c r="R21" i="11"/>
  <c r="Q22" i="11"/>
  <c r="F23" i="11"/>
  <c r="P22" i="11"/>
  <c r="O22" i="11"/>
  <c r="G23" i="11"/>
  <c r="T22" i="11"/>
  <c r="S22" i="11"/>
  <c r="R22" i="11"/>
  <c r="F24" i="11"/>
  <c r="P23" i="11"/>
  <c r="Q23" i="11"/>
  <c r="O23" i="11"/>
  <c r="O24" i="11"/>
  <c r="P24" i="11"/>
  <c r="F25" i="11"/>
  <c r="Q24" i="11"/>
  <c r="T23" i="11"/>
  <c r="S23" i="11"/>
  <c r="G24" i="11"/>
  <c r="R23" i="11"/>
  <c r="P25" i="11"/>
  <c r="Q25" i="11"/>
  <c r="F26" i="11"/>
  <c r="O25" i="11"/>
  <c r="S24" i="11"/>
  <c r="T24" i="11"/>
  <c r="G25" i="11"/>
  <c r="R24" i="11"/>
  <c r="S25" i="11"/>
  <c r="T25" i="11"/>
  <c r="G26" i="11"/>
  <c r="R25" i="11"/>
  <c r="P26" i="11"/>
  <c r="F27" i="11"/>
  <c r="Q26" i="11"/>
  <c r="O26" i="11"/>
  <c r="G27" i="11"/>
  <c r="S26" i="11"/>
  <c r="T26" i="11"/>
  <c r="R26" i="11"/>
  <c r="O27" i="11"/>
  <c r="F28" i="11"/>
  <c r="P27" i="11"/>
  <c r="Q27" i="11"/>
  <c r="C39" i="11"/>
  <c r="Q28" i="11"/>
  <c r="P28" i="11"/>
  <c r="G28" i="11"/>
  <c r="S27" i="11"/>
  <c r="T27" i="11"/>
  <c r="R27" i="11"/>
  <c r="I29" i="11"/>
  <c r="I30" i="11"/>
  <c r="I28" i="11"/>
  <c r="I32" i="11"/>
  <c r="I31" i="11"/>
  <c r="C40" i="11"/>
  <c r="T28" i="11"/>
  <c r="S28" i="11"/>
  <c r="I33" i="11"/>
  <c r="O28" i="11"/>
  <c r="F29" i="11"/>
  <c r="O29" i="11"/>
  <c r="J31" i="11"/>
  <c r="J28" i="11"/>
  <c r="J29" i="11"/>
  <c r="J30" i="11"/>
  <c r="J32" i="11"/>
  <c r="U14" i="11"/>
  <c r="J33" i="11"/>
  <c r="R28" i="11"/>
  <c r="G29" i="11"/>
  <c r="F30" i="11"/>
  <c r="Q29" i="11"/>
  <c r="P29" i="11"/>
  <c r="G30" i="11"/>
  <c r="T29" i="11"/>
  <c r="S29" i="11"/>
  <c r="F31" i="11"/>
  <c r="Q30" i="11"/>
  <c r="P30" i="11"/>
  <c r="O30" i="11"/>
  <c r="R29" i="11"/>
  <c r="F32" i="11"/>
  <c r="P31" i="11"/>
  <c r="Q31" i="11"/>
  <c r="O31" i="11"/>
  <c r="T30" i="11"/>
  <c r="G31" i="11"/>
  <c r="S30" i="11"/>
  <c r="R30" i="11"/>
  <c r="T31" i="11"/>
  <c r="G32" i="11"/>
  <c r="S31" i="11"/>
  <c r="R31" i="11"/>
  <c r="Q32" i="11"/>
  <c r="P32" i="11"/>
  <c r="O32" i="11"/>
  <c r="T32" i="11"/>
  <c r="S32" i="11"/>
  <c r="R32" i="11"/>
  <c r="AG7" i="13" l="1"/>
  <c r="AG6" i="13"/>
  <c r="J16" i="12"/>
  <c r="N16" i="12" s="1"/>
  <c r="O15" i="12"/>
  <c r="O22" i="12"/>
  <c r="R22" i="12"/>
  <c r="R23" i="12"/>
  <c r="O21" i="12"/>
  <c r="R21" i="12"/>
  <c r="N5" i="12"/>
  <c r="O8" i="12"/>
  <c r="J9" i="12"/>
  <c r="K9" i="12" s="1"/>
  <c r="J8" i="12"/>
  <c r="L22" i="12"/>
  <c r="L21" i="12"/>
  <c r="L20" i="12"/>
  <c r="L18" i="12"/>
  <c r="AF9" i="13"/>
  <c r="AF5" i="13"/>
  <c r="AF6" i="13"/>
  <c r="J2" i="13"/>
  <c r="K2" i="13"/>
  <c r="AF8" i="13"/>
  <c r="AF7" i="13"/>
  <c r="O20" i="12"/>
  <c r="R20" i="12"/>
  <c r="O9" i="12"/>
  <c r="O16" i="12"/>
  <c r="O11" i="12"/>
  <c r="P11" i="12"/>
  <c r="L5" i="12"/>
  <c r="I6" i="12" s="1"/>
  <c r="V6" i="12" s="1"/>
  <c r="L19" i="12"/>
  <c r="R10" i="12"/>
  <c r="J6" i="12"/>
  <c r="N6" i="12" s="1"/>
  <c r="J12" i="12"/>
  <c r="N12" i="12" s="1"/>
  <c r="K16" i="12"/>
  <c r="O17" i="12"/>
  <c r="O19" i="12"/>
  <c r="R19" i="12"/>
  <c r="R18" i="12"/>
  <c r="O18" i="12"/>
  <c r="R11" i="12"/>
  <c r="R16" i="12"/>
  <c r="R9" i="12"/>
  <c r="R14" i="12"/>
  <c r="L16" i="12"/>
  <c r="H3" i="12"/>
  <c r="L8" i="12"/>
  <c r="L4" i="12"/>
  <c r="O10" i="12"/>
  <c r="R13" i="12"/>
  <c r="R8" i="12"/>
  <c r="R17" i="12"/>
  <c r="L14" i="12"/>
  <c r="O6" i="12"/>
  <c r="R12" i="12"/>
  <c r="O12" i="12"/>
  <c r="L11" i="12"/>
  <c r="K11" i="12"/>
  <c r="N11" i="12"/>
  <c r="H6" i="12"/>
  <c r="Q5" i="12"/>
  <c r="K3" i="12"/>
  <c r="Q3" i="12" s="1"/>
  <c r="L3" i="12"/>
  <c r="N3" i="12"/>
  <c r="N15" i="12"/>
  <c r="K15" i="12"/>
  <c r="L15" i="12"/>
  <c r="O7" i="12"/>
  <c r="O14" i="12"/>
  <c r="R7" i="12"/>
  <c r="L7" i="12"/>
  <c r="J13" i="12"/>
  <c r="P15" i="12"/>
  <c r="P13" i="12"/>
  <c r="N9" i="12"/>
  <c r="O13" i="12"/>
  <c r="J10" i="12"/>
  <c r="L6" i="12"/>
  <c r="L9" i="12"/>
  <c r="P10" i="12"/>
  <c r="J33" i="12"/>
  <c r="W14" i="12" s="1"/>
  <c r="N7" i="12"/>
  <c r="K17" i="12"/>
  <c r="N17" i="12"/>
  <c r="L17" i="12"/>
  <c r="AG9" i="13"/>
  <c r="N8" i="12" l="1"/>
  <c r="K8" i="12"/>
  <c r="T6" i="12"/>
  <c r="U6" i="12"/>
  <c r="K12" i="12"/>
  <c r="K6" i="12"/>
  <c r="H7" i="12" s="1"/>
  <c r="L12" i="12"/>
  <c r="N10" i="12"/>
  <c r="L10" i="12"/>
  <c r="K10" i="12"/>
  <c r="K13" i="12"/>
  <c r="L13" i="12"/>
  <c r="N13" i="12"/>
  <c r="S6" i="12"/>
  <c r="R6" i="12"/>
  <c r="Q6" i="12"/>
  <c r="I7" i="12"/>
  <c r="N34" i="12" l="1"/>
  <c r="N33" i="12"/>
  <c r="U7" i="12"/>
  <c r="I8" i="12"/>
  <c r="V7" i="12"/>
  <c r="T7" i="12"/>
  <c r="S7" i="12"/>
  <c r="H8" i="12"/>
  <c r="Q7" i="12"/>
  <c r="I9" i="12" l="1"/>
  <c r="U8" i="12"/>
  <c r="V8" i="12"/>
  <c r="T8" i="12"/>
  <c r="S8" i="12"/>
  <c r="H9" i="12"/>
  <c r="Q8" i="12"/>
  <c r="L32" i="14" l="1"/>
  <c r="H10" i="12"/>
  <c r="S9" i="12"/>
  <c r="Q9" i="12"/>
  <c r="V9" i="12"/>
  <c r="I10" i="12"/>
  <c r="U9" i="12"/>
  <c r="T9" i="12"/>
  <c r="K32" i="14" l="1"/>
  <c r="V10" i="12"/>
  <c r="I11" i="12"/>
  <c r="U10" i="12"/>
  <c r="T10" i="12"/>
  <c r="S10" i="12"/>
  <c r="H11" i="12"/>
  <c r="Q10" i="12"/>
  <c r="S11" i="12" l="1"/>
  <c r="H12" i="12"/>
  <c r="Q11" i="12"/>
  <c r="I12" i="12"/>
  <c r="U11" i="12"/>
  <c r="V11" i="12"/>
  <c r="T11" i="12"/>
  <c r="V12" i="12" l="1"/>
  <c r="I13" i="12"/>
  <c r="U12" i="12"/>
  <c r="T12" i="12"/>
  <c r="S12" i="12"/>
  <c r="H13" i="12"/>
  <c r="Q12" i="12"/>
  <c r="S13" i="12" l="1"/>
  <c r="H14" i="12"/>
  <c r="Q13" i="12"/>
  <c r="U13" i="12"/>
  <c r="I14" i="12"/>
  <c r="V13" i="12"/>
  <c r="T13" i="12"/>
  <c r="V14" i="12" l="1"/>
  <c r="U14" i="12"/>
  <c r="I15" i="12"/>
  <c r="T14" i="12"/>
  <c r="H15" i="12"/>
  <c r="S14" i="12"/>
  <c r="Q14" i="12"/>
  <c r="S15" i="12" l="1"/>
  <c r="H16" i="12"/>
  <c r="Q15" i="12"/>
  <c r="I16" i="12"/>
  <c r="V15" i="12"/>
  <c r="U15" i="12"/>
  <c r="T15" i="12"/>
  <c r="V16" i="12" l="1"/>
  <c r="T16" i="12"/>
  <c r="I17" i="12"/>
  <c r="I18" i="12" s="1"/>
  <c r="U16" i="12"/>
  <c r="Q16" i="12"/>
  <c r="H17" i="12"/>
  <c r="H18" i="12" s="1"/>
  <c r="S16" i="12"/>
  <c r="S18" i="12" l="1"/>
  <c r="Q18" i="12"/>
  <c r="H19" i="12"/>
  <c r="H20" i="12" s="1"/>
  <c r="I19" i="12"/>
  <c r="I20" i="12" s="1"/>
  <c r="V18" i="12"/>
  <c r="T18" i="12"/>
  <c r="U18" i="12"/>
  <c r="S17" i="12"/>
  <c r="Q17" i="12"/>
  <c r="V17" i="12"/>
  <c r="U17" i="12"/>
  <c r="T17" i="12"/>
  <c r="I21" i="12" l="1"/>
  <c r="V20" i="12"/>
  <c r="U20" i="12"/>
  <c r="T20" i="12"/>
  <c r="H21" i="12"/>
  <c r="S20" i="12"/>
  <c r="Q20" i="12"/>
  <c r="T19" i="12"/>
  <c r="V19" i="12"/>
  <c r="U19" i="12"/>
  <c r="S19" i="12"/>
  <c r="Q19" i="12"/>
  <c r="H22" i="12" l="1"/>
  <c r="S21" i="12"/>
  <c r="Q21" i="12"/>
  <c r="I22" i="12"/>
  <c r="U21" i="12"/>
  <c r="V21" i="12"/>
  <c r="T21" i="12"/>
  <c r="I23" i="12" l="1"/>
  <c r="V22" i="12"/>
  <c r="U22" i="12"/>
  <c r="T22" i="12"/>
  <c r="H23" i="12"/>
  <c r="S22" i="12"/>
  <c r="Q22" i="12"/>
  <c r="C40" i="12" l="1"/>
  <c r="K23" i="12" s="1"/>
  <c r="K33" i="12" s="1"/>
  <c r="H24" i="12"/>
  <c r="C41" i="12"/>
  <c r="L23" i="12" s="1"/>
  <c r="L33" i="12" s="1"/>
  <c r="I24" i="12"/>
  <c r="V23" i="12"/>
  <c r="S23" i="12"/>
  <c r="Q23" i="12"/>
  <c r="U23" i="12"/>
  <c r="T23" i="12"/>
</calcChain>
</file>

<file path=xl/sharedStrings.xml><?xml version="1.0" encoding="utf-8"?>
<sst xmlns="http://schemas.openxmlformats.org/spreadsheetml/2006/main" count="1803" uniqueCount="266">
  <si>
    <t>DATA</t>
  </si>
  <si>
    <t>WIN</t>
  </si>
  <si>
    <t>LOOS</t>
  </si>
  <si>
    <t>STOP</t>
  </si>
  <si>
    <t>META</t>
  </si>
  <si>
    <t>% STOP</t>
  </si>
  <si>
    <t>RESULTADO</t>
  </si>
  <si>
    <t xml:space="preserve">                                                                                                                                           </t>
  </si>
  <si>
    <t>SOMA</t>
  </si>
  <si>
    <t>X</t>
  </si>
  <si>
    <t>O</t>
  </si>
  <si>
    <t>OPERACAO</t>
  </si>
  <si>
    <t>P/L</t>
  </si>
  <si>
    <t>CAPITAL</t>
  </si>
  <si>
    <t>LUCRO (T/N)</t>
  </si>
  <si>
    <t>BANCA</t>
  </si>
  <si>
    <t>% DIA</t>
  </si>
  <si>
    <t>% META DIARIA</t>
  </si>
  <si>
    <t>BANCA ATUAL (SEM T/N)</t>
  </si>
  <si>
    <t>Média por dia</t>
  </si>
  <si>
    <t>1G</t>
  </si>
  <si>
    <t xml:space="preserve">Retiradas </t>
  </si>
  <si>
    <t>RETIRADA</t>
  </si>
  <si>
    <t>TOTAL</t>
  </si>
  <si>
    <t xml:space="preserve"> </t>
  </si>
  <si>
    <t>Meu peso</t>
  </si>
  <si>
    <t>2G</t>
  </si>
  <si>
    <t>OP(4%)</t>
  </si>
  <si>
    <t>3 OP C/ GALE</t>
  </si>
  <si>
    <t>3 OP S/ GALE</t>
  </si>
  <si>
    <t>Resultado %</t>
  </si>
  <si>
    <t>$ THAI</t>
  </si>
  <si>
    <t>DEP/RET</t>
  </si>
  <si>
    <t>P/L THAI</t>
  </si>
  <si>
    <t>META T</t>
  </si>
  <si>
    <t>$ PEU</t>
  </si>
  <si>
    <t>P/L PEU</t>
  </si>
  <si>
    <t>% DIA PEU</t>
  </si>
  <si>
    <t>% DIA THAI</t>
  </si>
  <si>
    <t>CAP FINAL</t>
  </si>
  <si>
    <t>OP (4%)</t>
  </si>
  <si>
    <t>Divisao de capital:</t>
  </si>
  <si>
    <t>Peu</t>
  </si>
  <si>
    <t>Thai</t>
  </si>
  <si>
    <t>Total P/L</t>
  </si>
  <si>
    <t>P/L DIA</t>
  </si>
  <si>
    <t>-</t>
  </si>
  <si>
    <t>1D</t>
  </si>
  <si>
    <t>2D</t>
  </si>
  <si>
    <t>Total</t>
  </si>
  <si>
    <t>FELIPE</t>
  </si>
  <si>
    <t>Dia</t>
  </si>
  <si>
    <t>Comentários</t>
  </si>
  <si>
    <t>Falta de liquidez na terceira entrada do 2x0 e primeira do 3x0 deu loss</t>
  </si>
  <si>
    <t>Comecei a aplicar a estratégia fluxo</t>
  </si>
  <si>
    <t>Criei a adaptacao da gestao infinity em conjunto com a Estratégia Fluxo</t>
  </si>
  <si>
    <t>GESTAO INFINITY + ESTRATÉGIA FLUXO</t>
  </si>
  <si>
    <t>Comecei a aplicar a Estratégia Fluxo em conjunto com a Gestao Infinity. Vou utilizar a adaptacao da gestão, onde a partir do quarto nível, apenas tento acertar uma e parar, até bater o stop.</t>
  </si>
  <si>
    <t xml:space="preserve">ESTRATÉGIA DE FLUXO </t>
  </si>
  <si>
    <t>Data</t>
  </si>
  <si>
    <t>Par</t>
  </si>
  <si>
    <t>Horário</t>
  </si>
  <si>
    <t>Nivel da Gestão</t>
  </si>
  <si>
    <t>Ciclo do dia</t>
  </si>
  <si>
    <t>Compra ou Venda</t>
  </si>
  <si>
    <t>Resultado (Win/Loss)</t>
  </si>
  <si>
    <t>MACD saiu da regiao oposta?</t>
  </si>
  <si>
    <t>EMA11 cruzou EMA22?</t>
  </si>
  <si>
    <t>Preço descolando das EMAs após cruzamento</t>
  </si>
  <si>
    <t>Gatiho: MACD fez o cruzamento?</t>
  </si>
  <si>
    <t>Ângulo dos topos do MACD mostra força?</t>
  </si>
  <si>
    <t>Topo/Fundo atual do MACD ≥ anterior?</t>
  </si>
  <si>
    <t>Resistência recente rompida ou inexistente?</t>
  </si>
  <si>
    <t>BTC com estrutura semelhante?</t>
  </si>
  <si>
    <t>ETH/USDT</t>
  </si>
  <si>
    <t>COMPRA</t>
  </si>
  <si>
    <t>Win</t>
  </si>
  <si>
    <t>Sim</t>
  </si>
  <si>
    <t>BTC/USDT</t>
  </si>
  <si>
    <t>SOL/USDT</t>
  </si>
  <si>
    <t>Não</t>
  </si>
  <si>
    <t>VENDA</t>
  </si>
  <si>
    <t>Loss</t>
  </si>
  <si>
    <t>IDX/USDT</t>
  </si>
  <si>
    <t>Nível 1</t>
  </si>
  <si>
    <t>Ciclo 1</t>
  </si>
  <si>
    <t>Ciclo 2</t>
  </si>
  <si>
    <t>Erro estratégico. Estrutura do BTC estava totalmente diferente e em acumulação, enquanto ETH em estrutura ideal.</t>
  </si>
  <si>
    <t>Quantidade de Wins</t>
  </si>
  <si>
    <t>Assertividade</t>
  </si>
  <si>
    <t>Quantidade de Loss</t>
  </si>
  <si>
    <t>Win vs Loss por Ciclo</t>
  </si>
  <si>
    <t>Tabelas Auxiliares</t>
  </si>
  <si>
    <t>Ciclo</t>
  </si>
  <si>
    <t>Ativo</t>
  </si>
  <si>
    <t>MEMX/USDT</t>
  </si>
  <si>
    <t>Quantidade</t>
  </si>
  <si>
    <t>Operações por ativo</t>
  </si>
  <si>
    <t>Critérios Não Respeitados</t>
  </si>
  <si>
    <t xml:space="preserve">Critério </t>
  </si>
  <si>
    <t xml:space="preserve">Quant. Não </t>
  </si>
  <si>
    <t>Ativos</t>
  </si>
  <si>
    <t>Wins</t>
  </si>
  <si>
    <t>Assertividade por ativo</t>
  </si>
  <si>
    <t>DASHBOARD DE DESEMPENHO</t>
  </si>
  <si>
    <t>Capital:</t>
  </si>
  <si>
    <t>Erro estratégico. Entrada forçada: MACD mal cruzou pra baixo direito, resistência logo acima, entrada feita na zona vermelha do TZ.</t>
  </si>
  <si>
    <t>Nível 2</t>
  </si>
  <si>
    <t>Loss técnico correto. Rompimento confirmado, MACD cruzado e operação feita no BTC. Mercado não respondeu. Loss  sem quebra de regra.</t>
  </si>
  <si>
    <t>Nível 3</t>
  </si>
  <si>
    <t>Nível 4</t>
  </si>
  <si>
    <t>Nível 5</t>
  </si>
  <si>
    <t>Entrada antecipada. BTC e ETH em confluência no momento da decisão, mas BTC retraiu. MACD do ETH não confirmou o gatilho, resultando em loss técnico.</t>
  </si>
  <si>
    <t>Erro técnico. Rompimento aconteceu 8 velas após o cruzamento do MACD, quebrando a lógica de timing da estratégia. BTC estava em movimento contrário, o que invalidava a confluência. Entrada feita fora do modelo.</t>
  </si>
  <si>
    <t>Setup limpo com cruzamento do MACD, rompimento e vela de gatilho vermelha. Apesar de falso rompimento no BTC, IDX respeitou estrutura e deu WIN.</t>
  </si>
  <si>
    <t>RESULTADO DO DIA</t>
  </si>
  <si>
    <t>NÍVEL DA GESTAO</t>
  </si>
  <si>
    <t>C1 -N5</t>
  </si>
  <si>
    <t>C1-N1 / C2-N2</t>
  </si>
  <si>
    <t>VITORIA TECNICA</t>
  </si>
  <si>
    <t xml:space="preserve">	Setup técnico limpo, rompimento prévio confirmado, mas vela de entrada fechou vermelha. Mercado segue lateral.</t>
  </si>
  <si>
    <t>Entrada perfeita no fluxo bearish. Cruzamento do MACD antecipado, rompimento limpo e confluência com BTC.</t>
  </si>
  <si>
    <t>C1-N2 / C2-N3</t>
  </si>
  <si>
    <t xml:space="preserve">Setup técnico ideal, mas o BTC ainda lateralizava próximo ao suporte. ETH teve força e confirmou. </t>
  </si>
  <si>
    <t>BTC acumulava e segurava fundo. IDX rompeu com força mas foi falso rompimento. Entrada seguiu os critérios, mas o BTC não confirmou.</t>
  </si>
  <si>
    <t>V.CHEIA / V.CHEIA</t>
  </si>
  <si>
    <t>V.TECNICA / V.CHEIA</t>
  </si>
  <si>
    <t>C1-N5 / C2-N2</t>
  </si>
  <si>
    <t>IDX rompeu suporte junto com o BTC. Porém, a vela de entrada retraiu fortemente após o BTC fazer um falso rompimento, anulando a pressão vendedora. O MACD perdeu força e não chegou a cruzar.</t>
  </si>
  <si>
    <t>Cruzamento claro do MACD, rompimento da região crítica e BTC em confluência também rompendo. Setup ideal.</t>
  </si>
  <si>
    <t>Cruzamento do MACD ocorreu antes do rompimento. BTC estava rompendo com força também, mas a vela de entrada no SOL retraiu e fechou verde, anulando a movimentação.</t>
  </si>
  <si>
    <t>Setup bullish com BTC também rompendo. Entrada ideal, confluência com volume, e execução bem-sucedida.</t>
  </si>
  <si>
    <t>Excelente entrada bearish com setup completo. O BTC rompeu e confirmou o movimento do MEMX. Vitória com boa fluidez.</t>
  </si>
  <si>
    <t>C1-N1 / C2-N1</t>
  </si>
  <si>
    <t>Setup executado com precisão. O MACD cruzou antes do rompimento do suporte, e a entrada foi feita corretamente na vela posterior ao rompimento, com BTC acompanhando a estrutura de baixa. A confirmação e o timing foram ideais.</t>
  </si>
  <si>
    <t>Operação tecnicamente impecável. O MACD sinalizou com antecedência, a entrada foi feita de forma disciplinada após a confirmação do rompimento. A estrutura do BTC contribuiu fortemente para a validação do trade.</t>
  </si>
  <si>
    <t>Essa operação seguiu todos os critérios técnicos da estratégia fluxo bullish, incluindo o cruzamento do MACD, descolamento das EMAs, ângulo favorável e rompimento de resistência. No entanto, ao revisar a operação com calma, notou-se que havia uma resistência ainda mais crítica logo acima, evidenciada pelo VPVR e pelo price action anterior. Essa informação deveria ter servido como filtro negativo para evitar a entrada. Felizmente, o mercado teve força suficiente para sustentar o rompimento inicial e garantir a vitória. Porém, esse tipo de operação aumenta o risco e não deve ser repetido, a menos que o caminho esteja claramente limpo no gráfico.</t>
  </si>
  <si>
    <t>O rompimento do MACD ocorreu algumas velas antes da quebra da resistência, o que não comprometeu o sinal, já que o cruzamento foi limpo e o momentum permaneceu crescente. O rompimento do nível horizontal de resistência foi claro, seguido de confirmação na vela seguinte, momento em que a entrada foi realizada. Como confluência adicional, foi identificado um padrão de bandeira de alta (bullish flag) se formando, o que reforçou ainda mais a decisão de entrada e a leitura de continuação da tendência. Vitória limpa, com execução técnica impecável e leitura contextual refinada.</t>
  </si>
  <si>
    <t>1VC</t>
  </si>
  <si>
    <t>2VC</t>
  </si>
  <si>
    <t>VC/VT</t>
  </si>
  <si>
    <t>VT/VT</t>
  </si>
  <si>
    <t>LOSS</t>
  </si>
  <si>
    <t>CENARIOS POSSIVEIS</t>
  </si>
  <si>
    <t>NIVEL 4</t>
  </si>
  <si>
    <t>NIVEL 5</t>
  </si>
  <si>
    <t>NIVEL 6</t>
  </si>
  <si>
    <t>NIVEL 7</t>
  </si>
  <si>
    <t>LOSS %</t>
  </si>
  <si>
    <t>Realizei a mudança da tabela auxiliar de operacoes para se adequar a gestao infinty modificada, onde ate o nivel tres se tenta 2 vitorias seguidas e a partir do nivel 4, apenas 1 vitoria basta para reiniciar o ciclo. Essa gestao possibilita boa consistencia de ganhos em dias bons e protecao de capital em dias dificeis. O dia com vitoria cheia junto com a vitoria tecnica considerada para fazer os calculos sera a media do nivel 4 e 5 (ja que probabilisticamente falando, ela representa maior parte dos casos), e o dia com 2 vitorias tecnicas, o cenario mais comum de acontecer será considerado, que sao duas vitorias tecnicas no nivel 4, representando 3% dos dias. Dias de nivel 4 e nivel 5 representa 1,5% dos dias, e os outros casos, menos de 1%.</t>
  </si>
  <si>
    <t>Last Update: 19/05/25</t>
  </si>
  <si>
    <t>V. CHEIA / V.CHEIA</t>
  </si>
  <si>
    <t>C1-N1 / C2-N3</t>
  </si>
  <si>
    <t>Ideal. Todos os critérios atendidos.</t>
  </si>
  <si>
    <t xml:space="preserve"> Ideal. Alta confiança no padrão.</t>
  </si>
  <si>
    <t>Erro técnico. Operação não condizente com os critérios definidos. Estava muito confiante após as duas vitórias seguidas. Acabei operando fora das regras do meu setup. Preciso reforçar disciplina e só entrar quando os critérios forem 100% claros. Meu setup havia acontecido alguns minutos antes e dando vitória.</t>
  </si>
  <si>
    <t>Win fora do gatilho técnico (MACD), mas com forte leitura de fluxo e momentum. Essa operação ocorreu em um momento de forte rompimento do BTC, com grande volume de compra e rompimento de uma zona de resistência visível, previamente marcada. O MACD ainda não havia cruzado no momento da entrada, mas a vela responsável pelo rompimento da resistência foi de força relevante e com volume muito acima da média. Decidi entrar na vela seguinte ao rompimento, mesmo sem a confirmação do MACD, apostando na continuidade do fluxo. Apesar de o cruzamento técnico do MACD ter ocorrido apenas uma vela depois da entrada, a confluência entre: rompimento claro, volume alto, momentum evidente, e estrutura de price action (breakout), justificou a entrada como exceção bem fundamentada, seguindo o fluxo bullish.</t>
  </si>
  <si>
    <t>Quantidade de Operações</t>
  </si>
  <si>
    <t>C1</t>
  </si>
  <si>
    <r>
      <t xml:space="preserve">Primeiro loss completo. A chance de loss é menor que 1% quando: voce segue sua estratégia ao pé da letra, sem forçar cenarios; e quando voce tem sabedoria para entender que hoje nao é o seu dia. Uma coisa é voce chegar no nível 4 ou 5 de maneira gradual, com wins e loss. Outra coisa </t>
    </r>
    <r>
      <rPr>
        <b/>
        <sz val="11"/>
        <color theme="1"/>
        <rFont val="Montserrat Regular"/>
      </rPr>
      <t>TOTALMENTE</t>
    </r>
    <r>
      <rPr>
        <sz val="11"/>
        <color theme="1"/>
        <rFont val="Montserrat Regular"/>
      </rPr>
      <t xml:space="preserve"> diferente é voce chegar nesses níveis com </t>
    </r>
    <r>
      <rPr>
        <b/>
        <sz val="11"/>
        <color theme="1"/>
        <rFont val="Montserrat Regular"/>
      </rPr>
      <t>TODAS</t>
    </r>
    <r>
      <rPr>
        <sz val="11"/>
        <color theme="1"/>
        <rFont val="Montserrat Regular"/>
      </rPr>
      <t xml:space="preserve"> as operacoes dando loss. Primeiro, não se opera a mesma estratégia de maneira consecutiva depois de 3 loss seguidos, o resultado das outras provavelmente será o mesmo. Segundo, não ache que só nao funcionou porque o setup nao era ideal, nao funcionou porque hoje a assertividade da estrategia é de 5%, e nao de 70%. </t>
    </r>
  </si>
  <si>
    <t>TF 5min com sinais atrasados, volume já em declínio. Entrada sem validação de força.</t>
  </si>
  <si>
    <t>Padrão de pavios superiores indicava rejeição. Rompimento sem volume relevante.</t>
  </si>
  <si>
    <t>Repetição do setup anterior sem filtragem. Novo rompimento com menos volume. Esses 3 loss aconteceram num span de 12 min. Acabei forçando as operacoes e me precipitando. NAO FACA ISSO.</t>
  </si>
  <si>
    <t>Nível 7</t>
  </si>
  <si>
    <t>MACD fraco, rejeições no topo e falta de volume confirmando o rompimento.</t>
  </si>
  <si>
    <t>Atualizacao</t>
  </si>
  <si>
    <t>Entrada com cruzamento fraco e divergência clara no volume. Rompimento sem sustentação.</t>
  </si>
  <si>
    <t>Rompeu suporte com volume fraco, pavios de rejeição. Tendência de baixa exaurida.</t>
  </si>
  <si>
    <t>Tipo de Estratégia</t>
  </si>
  <si>
    <t>Bullish clássico</t>
  </si>
  <si>
    <t>Bearish Clássico</t>
  </si>
  <si>
    <t>Bearish - Exaustão + Rompimento</t>
  </si>
  <si>
    <t>C1-N4/C2-N4</t>
  </si>
  <si>
    <t>V.TECNICA / PAUSE</t>
  </si>
  <si>
    <t>A entrada foi técnica e coerente com o rompimento, mas falhou possivelmente devido à presença de zonas de suporte logo abaixo (não necessariamente identificadas como "erro").</t>
  </si>
  <si>
    <t>Setup e contexto muito bons: fluxo vendedor claro, volume forte e sem zonas de suporte próximas que pudessem frear o movimento.</t>
  </si>
  <si>
    <t>Entrada precipitada em um contexto de exaustão: divergência de alta no MACD, volume sem confirmação e falta de continuidade do rompimento.</t>
  </si>
  <si>
    <t>Entrada após rompimento de fundo importante, com aumento de volume vendedor e gap no VPVR. A entrada foi fora do modelo tradicional de cruzamento MACD, mas com contexto claro de fluxo e rompimento com força. Excelente leitura de oportunidade.</t>
  </si>
  <si>
    <t>Entrada após rompimento de fundo importante, com aumento de volume vendedor e gap no VPVR. Contexto de forte pressão vendedora e clara confirmação do fluxo. Excelente leitura de continuidade do movimento de venda, aproveitando o contexto de força vendedora no ativo.</t>
  </si>
  <si>
    <t xml:space="preserve">V.CHEIA / V.CHEIA </t>
  </si>
  <si>
    <t>BERMAN/OUTROS</t>
  </si>
  <si>
    <t>Assertividade por estratégia</t>
  </si>
  <si>
    <t>Bearish clássico</t>
  </si>
  <si>
    <t>Bullish - Exaustão + Rompimento</t>
  </si>
  <si>
    <t>Entrada no fluxo bearish após tentativa de rompimento de topo histórico, mas com volume decrescente, divergência baixista e padrão de topo duplo. Entrei na vela seguinte ao rompimento do fundo. Operação muito bem executada! Você identificou corretamente sinais de exaustão do movimento e a divergência entre o preço e os indicadores. A entrada estava em ótima sintonia com o contexto do mercado.</t>
  </si>
  <si>
    <t>Fluxo bearish clássico, volume crescente antes do rompimento e bom sinal técnico, mas a entrada foi feita na terceira vela após o rompimento (não na segunda, como costumo fazer). O atraso prejudicou o timing e causou o loss. Minha avaliação: A entrada estava tecnicamente alinhada e bem fundamentada. O erro foi apenas o timing — um ajuste nesse ponto pode evitar perdas parecidas no futuro!</t>
  </si>
  <si>
    <t>Venda após rompimento de suporte com fluxo bearish. Contexto correto, mas a falta de força no volume e o risco de pullback imediato prejudicaram a entrada. De toda forma, seguiu o setup e merece registro.</t>
  </si>
  <si>
    <t>Setup de fluxo bearish clássico e bem identificado: exaustão de alta, divergências claras no volume e RSI, rompimento de suporte e entrada na vela seguinte. MACD e EMAs alinhados, mas o fundo do MACD não confirmou força total (fundo não menor). Ainda assim, o contexto favorecia o trade e foi bem executado!</t>
  </si>
  <si>
    <t>Tipo de Mercado</t>
  </si>
  <si>
    <t>Mercado forte</t>
  </si>
  <si>
    <t>Mercado confuso</t>
  </si>
  <si>
    <t>Mercado de alta volatilidade</t>
  </si>
  <si>
    <t>Considerei divergencias entre Volume e Preço?</t>
  </si>
  <si>
    <t>Quantidade de Erros de Critérios</t>
  </si>
  <si>
    <t>Assertividade por quantidade de erros</t>
  </si>
  <si>
    <t>Quantidade de erros</t>
  </si>
  <si>
    <t>Um</t>
  </si>
  <si>
    <t>Dois</t>
  </si>
  <si>
    <t>Três</t>
  </si>
  <si>
    <t>Quatro ou Mais</t>
  </si>
  <si>
    <t>Tipo de mercado</t>
  </si>
  <si>
    <t>Zero (Setup ideal)</t>
  </si>
  <si>
    <t>Dois Erros</t>
  </si>
  <si>
    <t>Três Erros</t>
  </si>
  <si>
    <t>Um Erro</t>
  </si>
  <si>
    <t>Mercado Forte</t>
  </si>
  <si>
    <t>Mercado de Alta volatilidade</t>
  </si>
  <si>
    <t>Mercado Confuso</t>
  </si>
  <si>
    <t>Total de operações</t>
  </si>
  <si>
    <t>Impacto em erros em diferentes movimentações de mercado</t>
  </si>
  <si>
    <t>Assertividade em diferentes movimentações de mercado</t>
  </si>
  <si>
    <t>Assertividade em diferentes tipos de mercado + Erros no setup</t>
  </si>
  <si>
    <t>Observação: Porcentagem considerada a partir 5 operaçoes feitas no cenário específico.</t>
  </si>
  <si>
    <t>Setup ideal</t>
  </si>
  <si>
    <t>C1-N2 / C2-N2</t>
  </si>
  <si>
    <t>Entrada seguindo o setup clássico de fluxo bullish, com MACD, EMAs e BTC alinhados. Foi uma entrada tecnicamente perfeita. Nenhum erro identificável além do fato de que setups ideais às vezes não confirmam o movimento esperado. Bom exemplo de disciplina e execução correta!</t>
  </si>
  <si>
    <t>Entrada feita após o rompimento de resistência clara com forte fluxo comprador. Contexto validado com confluência de BTC e análise de volume coerente. Setup de fluxo bullish clássico, executado com paciência e confiança</t>
  </si>
  <si>
    <t>Setup bearish clássico bem estruturado, com contexto claro de fluxo e confirmação do movimento de baixa. Volume coerente e boa leitura do movimento de rompimento. Excelente gestão de entrada e respeito ao setup.</t>
  </si>
  <si>
    <t>C1-N4 / C2-N1</t>
  </si>
  <si>
    <t>A entrada foi feita no candle certo, com um contexto técnico perfeito de continuidade do fluxo. A operação demonstrou paciência ao esperar a confirmação e não antecipar antes do rompimento real.</t>
  </si>
  <si>
    <t>Entrada correta e alinhada ao setup, sem erros técnicos — apenas um movimento de mercado que não confirmou imediatamente.</t>
  </si>
  <si>
    <t>Excelente leitura ao perceber que o pullback verde era apenas um movimento de reteste e que a força de venda voltou logo depois. A entrada foi feita exatamente no momento certo.</t>
  </si>
  <si>
    <t>Operação tecnicamente bem executada no setup de fluxo bearish, com bons sinais no rompimento e confirmação do MACD. No entanto, o fundo do MACD já mostrava perda de força, e o volume no candle de entrada não foi tão alto. A entrada era coerente, mas o contexto mostrou pouca força vendedora, resultando no loss.</t>
  </si>
  <si>
    <t>Operação coerente tecnicamente com os critérios de rompimento, fluxo e aumento de volume vendedor. A leitura do contexto estava boa, mas a barra de venda que serviu como gatilho realmente não foi muito convincente: os pavios inferiores das velas anteriores ainda não haviam sido rompidos de forma clara. A entrada acabou sendo prematura por isso.</t>
  </si>
  <si>
    <t>V.CHEIA / PAUSE</t>
  </si>
  <si>
    <t>C1-N1 / C1-N1</t>
  </si>
  <si>
    <t>Após o loss de ontem, andei repensando em como eu deveria agir quando reconheço que o mercado não está bom para operar ou eu não estou em sintonia com mercado, agindo de maneira descuidadosa. Imagino que 3 ou 4 loss seguidos no até o nível 4, seja indicador suficiente de que os meus métodos nao vão funcionar naquele dia. Devo assumir e entender que isso é normal da natureza do mercado, e devo esquecer esse dia. Se até o quarto nível, eu nao consegui acertar nenhuma, mesmo seguindo minha estratégia a risca, é um indicador muito forte que aquele dia é alto candidato a bater o loss do dia. Não respeitar isso é ser ignorante quanto a natureza do mercado, é imprudente com o próprio capital e desconsideraçao com o histórico de assertividade da estratégia.</t>
  </si>
  <si>
    <t>PAUSE</t>
  </si>
  <si>
    <t>C1-N4</t>
  </si>
  <si>
    <t>DASHBOARD DE DESEMPENHO - JUNHO</t>
  </si>
  <si>
    <t>Operação de fluxo bearish clássico no ETH em confluência com o BTC, com setup tecnicamente alinhado. O rompimento do fundo ocorreu duas velas após o cruzamento do MACD, o que atrasou um pouco o timing, mas ainda era aceitável. Havia uma leve divergência no volume vendedor, mas como o volume comprador era ainda mais fraco, decidi seguir a entrada. Entrada tecnicamente correta, bem fundamentada e dentro do modelo de fluxo bearish. O loss não decorreu de erro técnico, mas sim de uma possível exaustão do movimento (sinalizada pela divergência no volume).</t>
  </si>
  <si>
    <t>A operação foi feita no fluxo bullish clássico em SOL/USDT, após 4 tentativas consecutivas de rompimento de suporte falharem e o preço conseguir romper o canal lateral para cima. Apesar de o cruzamento do MACD ter sido lento e abaixo da linha neutra (sinal de força moderada), o contexto era favorável: BTC em confluência, clara exaustão vendedora e rompimento efetivo de um mini canal lateral.</t>
  </si>
  <si>
    <t>O mercado já vinha em um movimento de alta bem claro, e mesmo que o cruzamento do MACD tenha sido breve, foi o suficiente para validar o setup. Entrei na vela pós-rompimento do topo anterior e o volume estava em conformidade com a força do rompimento. Foi um trade muito técnico e bem executado.</t>
  </si>
  <si>
    <t>Assim como a operação anterior no ETH, o cruzamento do MACD foi breve mas validou a entrada. Rompimento claro e forte da resistência, com o BTC também confirmando o movimento. Boa leitura e execução, mesmo em um contexto de movimento muito forte.</t>
  </si>
  <si>
    <t>V.CHEIA</t>
  </si>
  <si>
    <t>C1-N3</t>
  </si>
  <si>
    <t>Operação tecnicamente muito bem estruturada. Rompimento de suporte marcado claramente após acumulação, com bom volume vendedor entrando na vela de entrada. O cruzamento do MACD ocorreu com ângulo forte e consistente, sem divergências negativas visíveis. Execução precisa e validada por múltiplos critérios.</t>
  </si>
  <si>
    <t>Entrada ocorreu após cruzamento do MACD, com rompimento claro de resistência e estrutura saudável do preço. Contudo, apesar da confirmação do gatilho, o MACD já mostrava fraqueza no topo — o segundo topo foi inferior ao primeiro e o ângulo estava mais horizontal. Volume não foi expressivo no rompimento, o que enfraquece a continuidade.</t>
  </si>
  <si>
    <t>Entrada contra a tendência após sinal claro de exaustão no movimento bullish. Divergência entre RSI e preço (RSI descendente com topos ascendentes no preço) + divergência leve no MACD, formando o gatilho de venda. O rompimento do fundo intermediário deu a entrada. Contexto era altamente favorável em vários ativos — BTC, SOL e MEMX mostravam o mesmo padrão. Porém, ETH recebeu uma barra de volume comprador exatamente na vela da entrada, gerando um fechamento verde por retração repentina nos segundos finais.</t>
  </si>
  <si>
    <t>Setup clássico bem definido: tendência clara de baixa com LTB respeitada, cruzamento de EMAs para baixo com descolamento progressivo do preço e MACD cruzando com força. O volume na barra de rompimento foi decente e BTC estava em confluência no mesmo momento. A entrada foi realizada na vela pós-rompimento com boa posição técnica.</t>
  </si>
  <si>
    <t>Entrada após rompimento limpo de suporte com cruzamento do MACD vindo da região oposta. O preço já mostrava enfraquecimento com topos e fundos descendentes. Volume vendedor começou a crescer na vela de entrada. Apesar de lateralidade antes do rompimento, a estrutura foi clara e a entrada bem executada.</t>
  </si>
  <si>
    <t>V.TECNICA / V.TECNICA</t>
  </si>
  <si>
    <t>C1-N4 / C2-N4</t>
  </si>
  <si>
    <t>Hoje eu operei no primeiro ciclo, parando com um win no nível 4. Macedo e Berman operaram de noite, depois de 3 loss e 1 win do Macedo, peguei um win com o Berman e finalizei o dia no nivel 4 do ciclo 2.</t>
  </si>
  <si>
    <t>Novamente depois de uma conversa com o São, acabei mudando minha forma de operar. Não operei apenas a minha estratégia. Busquei ou a minha estratégia ou operações de pullback, Acabei filtrando pouco as operações e também arrisquei um martingale depois de nao conseguir a vitoria no nivel 2, colocando $12 no nivel 3. Estou positivo, mas já fiz dez operaçoes, assertividade abaixo dos 50% e arrisquei de maneira irresponsável. Esse comportamento não deve existir. Se for pra entrar em pullback, tenho que filtrar da mesma forma que faço na estratégia de fluxo. O lado bom é que não perdi a cabeça e comecei a mesclar varias maneiras de operar. Fiquei apenas com duas.</t>
  </si>
  <si>
    <t>Hoje eu operei apenas de noite na live do Berman. Foram 3 operações e 3 wins. Duas foi com toques em LTA e outra foi na primeira vela da estratégia T5.</t>
  </si>
  <si>
    <t>V.CHEIA / V.PARCIAL</t>
  </si>
  <si>
    <t>PAUSE - LOSS</t>
  </si>
  <si>
    <t>C6 - PAUSE</t>
  </si>
  <si>
    <t>Vamos resetar esse mês mentalmente. Desde o dia 4, estou extremamente irresponsável com a maneira de operar. Operando com varias estrategias e optando em momentos em utilizar gestao diferentes. Hoje tive que arriscar 20/40/80 na live do Berman. Agora zerei o resultado do mês, graças a Deus ele ganhou facil. Agora é voltar pra disciplina extrema.</t>
  </si>
  <si>
    <t>C6 / MG / C1-N1</t>
  </si>
  <si>
    <t>V.PARCIAL / MG / V.CHEIA</t>
  </si>
  <si>
    <t>Excelente entrada, respeitando todos os critérios com precisão. Mesmo em um cenário de notícia grave, você confiou na leitura do gráfico e seguiu sua estratégia com disciplina. Um modelo de execução que deve ser analisado e repetido.</t>
  </si>
  <si>
    <t>Entrada com execução exemplar. Mesmo sendo a segunda operação em sequência, foi tomada com base em confirmação técnica e sem ansiedade. O volume deu sustentação ao movimento, e a leitura foi precisa. Finalizar o dia com essas duas operações sólidas reforça seu reset mental e o retorno ao seu melhor operacional.</t>
  </si>
  <si>
    <t>MG</t>
  </si>
  <si>
    <t>MG3/MG1/MG1</t>
  </si>
  <si>
    <t>MG/MG/MG</t>
  </si>
  <si>
    <t>MG/MG/MG/MG/MG</t>
  </si>
  <si>
    <t>MG1/MG1/MG2/MG2/STOP</t>
  </si>
  <si>
    <t>MG1/MG1/MG2</t>
  </si>
  <si>
    <t>AI</t>
  </si>
  <si>
    <t>BERMAN/AI</t>
  </si>
  <si>
    <t>V.PARCIAL</t>
  </si>
  <si>
    <t>C1 - PAUSE</t>
  </si>
  <si>
    <t>MG1/MG/MG1</t>
  </si>
  <si>
    <t>IA +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</si>
</sst>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&quot;R$ &quot;#,##0.00"/>
    <numFmt numFmtId="166" formatCode="0.0%"/>
    <numFmt numFmtId="167" formatCode="&quot;R$&quot;#,##0.00"/>
    <numFmt numFmtId="168" formatCode="_-[$$-409]* #,##0.00_ ;_-[$$-409]* \-#,##0.00\ ;_-[$$-409]* &quot;-&quot;??_ ;_-@_ "/>
    <numFmt numFmtId="169" formatCode="[$-10416]dd/mm/yy;@"/>
    <numFmt numFmtId="170" formatCode="[$-10416]hh:mm;@"/>
    <numFmt numFmtId="171" formatCode="0.000%"/>
    <numFmt numFmtId="172" formatCode="0.00000"/>
  </numFmts>
  <fonts count="72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20"/>
      <color theme="0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20"/>
      <color theme="0"/>
      <name val="Calibri"/>
      <family val="2"/>
    </font>
    <font>
      <sz val="11"/>
      <color theme="0"/>
      <name val="Calibri"/>
      <family val="2"/>
    </font>
    <font>
      <b/>
      <sz val="24"/>
      <color theme="0"/>
      <name val="Calibri"/>
      <family val="2"/>
    </font>
    <font>
      <sz val="11"/>
      <color theme="0"/>
      <name val="Arial"/>
      <family val="2"/>
    </font>
    <font>
      <b/>
      <sz val="11"/>
      <color rgb="FF000000"/>
      <name val="Montserrat SemiBold"/>
    </font>
    <font>
      <sz val="11"/>
      <color theme="1"/>
      <name val="Montserrat SemiBold"/>
    </font>
    <font>
      <b/>
      <sz val="11"/>
      <name val="Montserrat SemiBold"/>
    </font>
    <font>
      <b/>
      <sz val="10"/>
      <color rgb="FFFFFFFF"/>
      <name val="Montserrat ExtraBold"/>
    </font>
    <font>
      <b/>
      <sz val="10"/>
      <color theme="0"/>
      <name val="Montserrat ExtraBold"/>
    </font>
    <font>
      <b/>
      <sz val="10"/>
      <color theme="1"/>
      <name val="Montserrat ExtraBold"/>
    </font>
    <font>
      <b/>
      <sz val="12"/>
      <color rgb="FF000000"/>
      <name val="Montserrat ExtraBold"/>
    </font>
    <font>
      <b/>
      <sz val="12"/>
      <color theme="0"/>
      <name val="Montserrat ExtraBold"/>
    </font>
    <font>
      <b/>
      <sz val="11"/>
      <color theme="0"/>
      <name val="Montserrat ExtraBold"/>
    </font>
    <font>
      <b/>
      <sz val="12"/>
      <color rgb="FFFFFFFF"/>
      <name val="Montserrat ExtraBold"/>
    </font>
    <font>
      <sz val="11"/>
      <color theme="1"/>
      <name val="Montserrat ExtraBold"/>
    </font>
    <font>
      <sz val="14"/>
      <color theme="0"/>
      <name val="Montserrat ExtraBold"/>
    </font>
    <font>
      <b/>
      <sz val="22"/>
      <color theme="0"/>
      <name val="Montserrat ExtraBold"/>
    </font>
    <font>
      <b/>
      <sz val="11"/>
      <color rgb="FF000000"/>
      <name val="Montserrat ExtraBold"/>
    </font>
    <font>
      <b/>
      <sz val="12"/>
      <name val="Montserrat ExtraBold"/>
    </font>
    <font>
      <b/>
      <sz val="11"/>
      <color theme="1"/>
      <name val="Montserrat ExtraBold"/>
    </font>
    <font>
      <b/>
      <sz val="14"/>
      <color theme="0"/>
      <name val="Montserrat SemiBold"/>
    </font>
    <font>
      <b/>
      <sz val="24"/>
      <color theme="0"/>
      <name val="Montserrat ExtraBold"/>
    </font>
    <font>
      <sz val="24"/>
      <color theme="0"/>
      <name val="Montserrat ExtraBold"/>
    </font>
    <font>
      <b/>
      <sz val="14"/>
      <color theme="0"/>
      <name val="Montserrat ExtraBold"/>
    </font>
    <font>
      <sz val="11"/>
      <color theme="0"/>
      <name val="Montserrat ExtraBold"/>
    </font>
    <font>
      <sz val="11"/>
      <color theme="1"/>
      <name val="Aptos Narrow"/>
      <family val="2"/>
      <scheme val="minor"/>
    </font>
    <font>
      <sz val="18"/>
      <color theme="1"/>
      <name val="Montserrat ExtraBold"/>
    </font>
    <font>
      <sz val="11"/>
      <color theme="1"/>
      <name val="Montserrat Medium"/>
    </font>
    <font>
      <b/>
      <sz val="10"/>
      <name val="Montserrat ExtraBold"/>
    </font>
    <font>
      <sz val="11"/>
      <color rgb="FF000000"/>
      <name val="Montserrat SemiBold"/>
    </font>
    <font>
      <sz val="12"/>
      <color theme="1"/>
      <name val="Montserrat SemiBold"/>
    </font>
    <font>
      <sz val="11"/>
      <color theme="1"/>
      <name val="Aptos Narrow"/>
      <family val="2"/>
      <scheme val="minor"/>
    </font>
    <font>
      <sz val="12"/>
      <color theme="0"/>
      <name val="Montserrat SemiBold"/>
    </font>
    <font>
      <b/>
      <sz val="9"/>
      <color theme="1"/>
      <name val="Montserrat ExtraBold"/>
    </font>
    <font>
      <sz val="16"/>
      <color theme="0"/>
      <name val="Montserrat ExtraBold"/>
    </font>
    <font>
      <b/>
      <sz val="8"/>
      <color theme="1"/>
      <name val="Montserrat ExtraBold"/>
    </font>
    <font>
      <sz val="14"/>
      <color theme="0"/>
      <name val="Montserrat SemiBold"/>
    </font>
    <font>
      <b/>
      <sz val="11"/>
      <color theme="0"/>
      <name val="Montserrat SemiBold"/>
    </font>
    <font>
      <b/>
      <sz val="11"/>
      <name val="Montserrat ExtraBold"/>
    </font>
    <font>
      <sz val="11"/>
      <color theme="1"/>
      <name val="Montserrat Regular"/>
    </font>
    <font>
      <sz val="11"/>
      <color theme="1"/>
      <name val="Montserrat"/>
    </font>
    <font>
      <b/>
      <sz val="11"/>
      <color theme="0"/>
      <name val="Montserrat Regular"/>
    </font>
    <font>
      <sz val="12"/>
      <color theme="0"/>
      <name val="Montserrat ExtraBold"/>
    </font>
    <font>
      <sz val="18"/>
      <color theme="0"/>
      <name val="Montserrat Black"/>
    </font>
    <font>
      <sz val="12"/>
      <color theme="1"/>
      <name val="Montserrat"/>
    </font>
    <font>
      <b/>
      <sz val="14"/>
      <color theme="0"/>
      <name val="Montserrat"/>
    </font>
    <font>
      <sz val="8"/>
      <color theme="0"/>
      <name val="Calibri"/>
      <family val="2"/>
    </font>
    <font>
      <b/>
      <sz val="9"/>
      <color theme="0"/>
      <name val="Montserrat ExtraBold"/>
    </font>
    <font>
      <sz val="8"/>
      <name val="Aptos Narrow"/>
      <scheme val="minor"/>
    </font>
    <font>
      <b/>
      <sz val="16"/>
      <color theme="0"/>
      <name val="Calibri"/>
      <family val="2"/>
    </font>
    <font>
      <b/>
      <sz val="9"/>
      <color theme="1"/>
      <name val="Montserrat SemiBold"/>
    </font>
    <font>
      <sz val="11"/>
      <color theme="0"/>
      <name val="Montserrat Light Italic"/>
    </font>
    <font>
      <b/>
      <sz val="11"/>
      <color theme="1"/>
      <name val="Montserrat Regular"/>
    </font>
    <font>
      <b/>
      <sz val="12"/>
      <color theme="1"/>
      <name val="Montserrat SemiBold"/>
    </font>
    <font>
      <sz val="11"/>
      <color theme="1"/>
      <name val="Montserrat Bold"/>
    </font>
    <font>
      <b/>
      <sz val="11"/>
      <color theme="1"/>
      <name val="Montserrat Bold"/>
    </font>
    <font>
      <b/>
      <sz val="14"/>
      <color theme="0"/>
      <name val="Montserrat Regular"/>
    </font>
    <font>
      <b/>
      <sz val="20"/>
      <color theme="0"/>
      <name val="Montserrat Regular"/>
    </font>
    <font>
      <sz val="14"/>
      <color theme="0"/>
      <name val="Montserrat Bold"/>
    </font>
    <font>
      <b/>
      <sz val="11"/>
      <color theme="1"/>
      <name val="Montserrat"/>
    </font>
  </fonts>
  <fills count="6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theme="0"/>
      </patternFill>
    </fill>
    <fill>
      <patternFill patternType="solid">
        <fgColor theme="1" tint="0.499984740745262"/>
        <bgColor rgb="FF92D050"/>
      </patternFill>
    </fill>
    <fill>
      <patternFill patternType="solid">
        <fgColor theme="1" tint="0.499984740745262"/>
        <bgColor rgb="FFF4B083"/>
      </patternFill>
    </fill>
    <fill>
      <patternFill patternType="solid">
        <fgColor rgb="FF00B050"/>
        <bgColor theme="0"/>
      </patternFill>
    </fill>
    <fill>
      <patternFill patternType="solid">
        <fgColor theme="2" tint="-0.499984740745262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theme="2" tint="-0.499984740745262"/>
        <bgColor rgb="FF9CC2E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5" tint="0.39997558519241921"/>
        <bgColor rgb="FFFFC000"/>
      </patternFill>
    </fill>
    <fill>
      <patternFill patternType="solid">
        <fgColor theme="5" tint="0.79998168889431442"/>
        <bgColor rgb="FF9CC2E5"/>
      </patternFill>
    </fill>
    <fill>
      <patternFill patternType="solid">
        <fgColor rgb="FF92D050"/>
        <bgColor rgb="FF00B050"/>
      </patternFill>
    </fill>
    <fill>
      <patternFill patternType="solid">
        <fgColor theme="9" tint="0.79998168889431442"/>
        <bgColor rgb="FF9CC2E5"/>
      </patternFill>
    </fill>
    <fill>
      <patternFill patternType="solid">
        <fgColor rgb="FF00B050"/>
        <bgColor rgb="FFFFFF00"/>
      </patternFill>
    </fill>
    <fill>
      <patternFill patternType="solid">
        <fgColor theme="5" tint="0.39997558519241921"/>
        <b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rgb="FFFF0000"/>
      </patternFill>
    </fill>
    <fill>
      <patternFill patternType="solid">
        <fgColor theme="5" tint="0.59999389629810485"/>
        <bgColor rgb="FFF4B083"/>
      </patternFill>
    </fill>
    <fill>
      <patternFill patternType="solid">
        <fgColor rgb="FFFF0000"/>
        <bgColor rgb="FFF4B083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rgb="FF92D050"/>
      </patternFill>
    </fill>
    <fill>
      <patternFill patternType="solid">
        <fgColor theme="2" tint="-0.499984740745262"/>
        <bgColor rgb="FFF4B083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1" tint="0.499984740745262"/>
        <bgColor theme="0"/>
      </patternFill>
    </fill>
    <fill>
      <patternFill patternType="solid">
        <fgColor theme="5" tint="0.39997558519241921"/>
        <bgColor rgb="FF9CC2E5"/>
      </patternFill>
    </fill>
    <fill>
      <patternFill patternType="solid">
        <fgColor rgb="FFFFFF00"/>
        <bgColor rgb="FF9CC2E5"/>
      </patternFill>
    </fill>
    <fill>
      <patternFill patternType="solid">
        <fgColor theme="7"/>
        <bgColor rgb="FF9CC2E5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rgb="FF9CC2E5"/>
      </patternFill>
    </fill>
    <fill>
      <patternFill patternType="solid">
        <fgColor theme="4" tint="0.39997558519241921"/>
        <bgColor rgb="FF9CC2E5"/>
      </patternFill>
    </fill>
    <fill>
      <patternFill patternType="solid">
        <fgColor theme="5" tint="0.39997558519241921"/>
        <bgColor rgb="FF92D050"/>
      </patternFill>
    </fill>
    <fill>
      <patternFill patternType="solid">
        <fgColor rgb="FFFF0000"/>
        <bgColor rgb="FF00B050"/>
      </patternFill>
    </fill>
    <fill>
      <patternFill patternType="solid">
        <fgColor theme="3" tint="0.499984740745262"/>
        <bgColor rgb="FFFF0000"/>
      </patternFill>
    </fill>
    <fill>
      <patternFill patternType="solid">
        <fgColor theme="4" tint="0.79998168889431442"/>
        <bgColor rgb="FFF4B083"/>
      </patternFill>
    </fill>
    <fill>
      <patternFill patternType="solid">
        <fgColor rgb="FFFFFF00"/>
        <bgColor rgb="FF00B050"/>
      </patternFill>
    </fill>
    <fill>
      <patternFill patternType="solid">
        <fgColor rgb="FF00B050"/>
        <bgColor rgb="FF92D050"/>
      </patternFill>
    </fill>
    <fill>
      <patternFill patternType="solid">
        <fgColor rgb="FFFF0000"/>
        <bgColor rgb="FFFFFF0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3" tint="0.499984740745262"/>
        <bgColor rgb="FF9CC2E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9CC2E5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3"/>
        <bgColor rgb="FFFF0000"/>
      </patternFill>
    </fill>
    <fill>
      <patternFill patternType="solid">
        <fgColor theme="3" tint="0.749992370372631"/>
        <bgColor rgb="FFF4B083"/>
      </patternFill>
    </fill>
    <fill>
      <patternFill patternType="solid">
        <fgColor theme="5" tint="0.79998168889431442"/>
        <bgColor rgb="FFF4B083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4" tint="0.79998168889431442"/>
        <bgColor theme="4" tint="0.79998168889431442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44" fontId="37" fillId="0" borderId="0" applyFont="0" applyFill="0" applyBorder="0" applyAlignment="0" applyProtection="0"/>
    <xf numFmtId="43" fontId="43" fillId="0" borderId="0" applyFont="0" applyFill="0" applyBorder="0" applyAlignment="0" applyProtection="0"/>
  </cellStyleXfs>
  <cellXfs count="390">
    <xf numFmtId="0" fontId="0" fillId="0" borderId="0" xfId="0"/>
    <xf numFmtId="0" fontId="4" fillId="7" borderId="0" xfId="0" applyFont="1" applyFill="1"/>
    <xf numFmtId="0" fontId="9" fillId="0" borderId="0" xfId="0" applyFont="1"/>
    <xf numFmtId="0" fontId="4" fillId="0" borderId="0" xfId="0" applyFont="1"/>
    <xf numFmtId="0" fontId="8" fillId="0" borderId="0" xfId="0" applyFont="1"/>
    <xf numFmtId="167" fontId="16" fillId="6" borderId="11" xfId="0" applyNumberFormat="1" applyFont="1" applyFill="1" applyBorder="1" applyAlignment="1">
      <alignment horizontal="center" vertical="center"/>
    </xf>
    <xf numFmtId="0" fontId="17" fillId="0" borderId="0" xfId="0" applyFont="1"/>
    <xf numFmtId="165" fontId="18" fillId="5" borderId="12" xfId="0" applyNumberFormat="1" applyFont="1" applyFill="1" applyBorder="1" applyAlignment="1">
      <alignment horizontal="center" vertical="center"/>
    </xf>
    <xf numFmtId="165" fontId="18" fillId="5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9" fillId="8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165" fontId="16" fillId="19" borderId="9" xfId="0" applyNumberFormat="1" applyFont="1" applyFill="1" applyBorder="1" applyAlignment="1">
      <alignment horizontal="center" vertical="center"/>
    </xf>
    <xf numFmtId="164" fontId="16" fillId="19" borderId="8" xfId="0" applyNumberFormat="1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164" fontId="22" fillId="2" borderId="2" xfId="0" applyNumberFormat="1" applyFont="1" applyFill="1" applyBorder="1" applyAlignment="1">
      <alignment horizontal="center" vertical="center"/>
    </xf>
    <xf numFmtId="164" fontId="22" fillId="4" borderId="3" xfId="0" applyNumberFormat="1" applyFont="1" applyFill="1" applyBorder="1" applyAlignment="1">
      <alignment horizontal="center" vertical="center"/>
    </xf>
    <xf numFmtId="164" fontId="23" fillId="20" borderId="3" xfId="0" applyNumberFormat="1" applyFont="1" applyFill="1" applyBorder="1" applyAlignment="1">
      <alignment horizontal="center" vertical="center"/>
    </xf>
    <xf numFmtId="9" fontId="24" fillId="2" borderId="4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44" fontId="28" fillId="0" borderId="0" xfId="0" applyNumberFormat="1" applyFont="1"/>
    <xf numFmtId="164" fontId="29" fillId="7" borderId="1" xfId="0" applyNumberFormat="1" applyFont="1" applyFill="1" applyBorder="1" applyAlignment="1">
      <alignment horizontal="center" vertical="center"/>
    </xf>
    <xf numFmtId="166" fontId="24" fillId="7" borderId="10" xfId="0" applyNumberFormat="1" applyFont="1" applyFill="1" applyBorder="1" applyAlignment="1">
      <alignment horizontal="center" vertical="center"/>
    </xf>
    <xf numFmtId="166" fontId="24" fillId="12" borderId="10" xfId="0" applyNumberFormat="1" applyFont="1" applyFill="1" applyBorder="1" applyAlignment="1">
      <alignment horizontal="center" vertical="center"/>
    </xf>
    <xf numFmtId="166" fontId="24" fillId="10" borderId="10" xfId="0" applyNumberFormat="1" applyFont="1" applyFill="1" applyBorder="1" applyAlignment="1">
      <alignment horizontal="center" vertical="center"/>
    </xf>
    <xf numFmtId="16" fontId="21" fillId="17" borderId="1" xfId="0" applyNumberFormat="1" applyFont="1" applyFill="1" applyBorder="1" applyAlignment="1">
      <alignment horizontal="center" vertical="center"/>
    </xf>
    <xf numFmtId="0" fontId="30" fillId="15" borderId="7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11" fillId="7" borderId="0" xfId="0" applyFont="1" applyFill="1"/>
    <xf numFmtId="0" fontId="31" fillId="21" borderId="7" xfId="0" applyFont="1" applyFill="1" applyBorder="1" applyAlignment="1">
      <alignment horizontal="center" vertical="center"/>
    </xf>
    <xf numFmtId="0" fontId="32" fillId="11" borderId="18" xfId="0" applyFont="1" applyFill="1" applyBorder="1" applyAlignment="1">
      <alignment horizontal="center" vertical="center"/>
    </xf>
    <xf numFmtId="44" fontId="32" fillId="11" borderId="18" xfId="0" applyNumberFormat="1" applyFont="1" applyFill="1" applyBorder="1" applyAlignment="1">
      <alignment horizontal="center" vertical="center"/>
    </xf>
    <xf numFmtId="166" fontId="32" fillId="11" borderId="18" xfId="0" applyNumberFormat="1" applyFont="1" applyFill="1" applyBorder="1" applyAlignment="1">
      <alignment horizontal="center" vertical="center"/>
    </xf>
    <xf numFmtId="166" fontId="24" fillId="10" borderId="24" xfId="0" applyNumberFormat="1" applyFont="1" applyFill="1" applyBorder="1" applyAlignment="1">
      <alignment horizontal="center" vertical="center"/>
    </xf>
    <xf numFmtId="0" fontId="17" fillId="22" borderId="18" xfId="0" applyFont="1" applyFill="1" applyBorder="1" applyAlignment="1">
      <alignment horizontal="center" vertical="center"/>
    </xf>
    <xf numFmtId="166" fontId="26" fillId="23" borderId="18" xfId="1" applyNumberFormat="1" applyFont="1" applyFill="1" applyBorder="1" applyAlignment="1">
      <alignment horizontal="center" vertical="center"/>
    </xf>
    <xf numFmtId="0" fontId="32" fillId="24" borderId="0" xfId="0" applyFont="1" applyFill="1" applyAlignment="1">
      <alignment horizontal="center" vertical="center"/>
    </xf>
    <xf numFmtId="166" fontId="32" fillId="24" borderId="0" xfId="0" applyNumberFormat="1" applyFont="1" applyFill="1" applyAlignment="1">
      <alignment horizontal="center" vertical="center"/>
    </xf>
    <xf numFmtId="44" fontId="32" fillId="24" borderId="0" xfId="0" applyNumberFormat="1" applyFont="1" applyFill="1" applyAlignment="1">
      <alignment horizontal="center" vertical="center"/>
    </xf>
    <xf numFmtId="165" fontId="18" fillId="5" borderId="25" xfId="0" applyNumberFormat="1" applyFont="1" applyFill="1" applyBorder="1" applyAlignment="1">
      <alignment horizontal="center" vertical="center"/>
    </xf>
    <xf numFmtId="165" fontId="18" fillId="5" borderId="26" xfId="0" applyNumberFormat="1" applyFont="1" applyFill="1" applyBorder="1" applyAlignment="1">
      <alignment horizontal="center" vertical="center"/>
    </xf>
    <xf numFmtId="165" fontId="18" fillId="5" borderId="18" xfId="0" applyNumberFormat="1" applyFont="1" applyFill="1" applyBorder="1" applyAlignment="1">
      <alignment horizontal="center" vertical="center"/>
    </xf>
    <xf numFmtId="16" fontId="39" fillId="0" borderId="18" xfId="0" applyNumberFormat="1" applyFont="1" applyBorder="1" applyAlignment="1">
      <alignment horizontal="center" vertical="center"/>
    </xf>
    <xf numFmtId="0" fontId="31" fillId="26" borderId="24" xfId="0" applyFont="1" applyFill="1" applyBorder="1" applyAlignment="1">
      <alignment horizontal="center" vertical="center"/>
    </xf>
    <xf numFmtId="0" fontId="31" fillId="16" borderId="1" xfId="0" applyFont="1" applyFill="1" applyBorder="1" applyAlignment="1">
      <alignment horizontal="center" vertical="center"/>
    </xf>
    <xf numFmtId="0" fontId="20" fillId="27" borderId="8" xfId="0" applyFont="1" applyFill="1" applyBorder="1" applyAlignment="1">
      <alignment horizontal="center" vertical="center"/>
    </xf>
    <xf numFmtId="0" fontId="19" fillId="27" borderId="8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center" vertical="center"/>
    </xf>
    <xf numFmtId="0" fontId="20" fillId="28" borderId="1" xfId="0" applyFont="1" applyFill="1" applyBorder="1" applyAlignment="1">
      <alignment horizontal="center" vertical="center"/>
    </xf>
    <xf numFmtId="44" fontId="40" fillId="27" borderId="8" xfId="2" applyFont="1" applyFill="1" applyBorder="1" applyAlignment="1">
      <alignment horizontal="center" vertical="center"/>
    </xf>
    <xf numFmtId="165" fontId="17" fillId="29" borderId="18" xfId="0" applyNumberFormat="1" applyFont="1" applyFill="1" applyBorder="1" applyAlignment="1">
      <alignment horizontal="center"/>
    </xf>
    <xf numFmtId="44" fontId="20" fillId="26" borderId="18" xfId="2" applyFont="1" applyFill="1" applyBorder="1" applyAlignment="1">
      <alignment horizontal="center" vertical="center"/>
    </xf>
    <xf numFmtId="0" fontId="31" fillId="21" borderId="18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0" fontId="31" fillId="30" borderId="18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165" fontId="18" fillId="5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31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center" vertical="center"/>
    </xf>
    <xf numFmtId="164" fontId="41" fillId="33" borderId="1" xfId="0" applyNumberFormat="1" applyFont="1" applyFill="1" applyBorder="1" applyAlignment="1">
      <alignment horizontal="center" vertical="center"/>
    </xf>
    <xf numFmtId="0" fontId="42" fillId="0" borderId="0" xfId="0" applyFont="1"/>
    <xf numFmtId="0" fontId="24" fillId="10" borderId="18" xfId="0" applyFont="1" applyFill="1" applyBorder="1" applyAlignment="1">
      <alignment horizontal="center" vertical="center"/>
    </xf>
    <xf numFmtId="0" fontId="32" fillId="34" borderId="18" xfId="0" applyFont="1" applyFill="1" applyBorder="1" applyAlignment="1">
      <alignment horizontal="center" vertical="center"/>
    </xf>
    <xf numFmtId="44" fontId="32" fillId="34" borderId="18" xfId="0" applyNumberFormat="1" applyFont="1" applyFill="1" applyBorder="1" applyAlignment="1">
      <alignment horizontal="center" vertical="center"/>
    </xf>
    <xf numFmtId="44" fontId="44" fillId="34" borderId="18" xfId="0" applyNumberFormat="1" applyFont="1" applyFill="1" applyBorder="1" applyAlignment="1">
      <alignment horizontal="center" vertical="center"/>
    </xf>
    <xf numFmtId="43" fontId="44" fillId="34" borderId="18" xfId="3" applyFont="1" applyFill="1" applyBorder="1" applyAlignment="1">
      <alignment horizontal="center" vertical="center"/>
    </xf>
    <xf numFmtId="10" fontId="32" fillId="11" borderId="18" xfId="0" applyNumberFormat="1" applyFont="1" applyFill="1" applyBorder="1" applyAlignment="1">
      <alignment horizontal="center" vertical="center"/>
    </xf>
    <xf numFmtId="10" fontId="32" fillId="34" borderId="18" xfId="0" applyNumberFormat="1" applyFont="1" applyFill="1" applyBorder="1" applyAlignment="1">
      <alignment horizontal="center" vertical="center"/>
    </xf>
    <xf numFmtId="16" fontId="45" fillId="35" borderId="1" xfId="0" applyNumberFormat="1" applyFont="1" applyFill="1" applyBorder="1" applyAlignment="1">
      <alignment horizontal="center" vertical="center"/>
    </xf>
    <xf numFmtId="16" fontId="21" fillId="36" borderId="1" xfId="0" applyNumberFormat="1" applyFont="1" applyFill="1" applyBorder="1" applyAlignment="1">
      <alignment horizontal="center" vertical="center"/>
    </xf>
    <xf numFmtId="10" fontId="24" fillId="10" borderId="10" xfId="0" applyNumberFormat="1" applyFont="1" applyFill="1" applyBorder="1" applyAlignment="1">
      <alignment horizontal="center" vertical="center"/>
    </xf>
    <xf numFmtId="10" fontId="24" fillId="7" borderId="10" xfId="0" applyNumberFormat="1" applyFont="1" applyFill="1" applyBorder="1" applyAlignment="1">
      <alignment horizontal="center" vertical="center"/>
    </xf>
    <xf numFmtId="16" fontId="21" fillId="37" borderId="1" xfId="0" applyNumberFormat="1" applyFont="1" applyFill="1" applyBorder="1" applyAlignment="1">
      <alignment horizontal="center" vertical="center"/>
    </xf>
    <xf numFmtId="0" fontId="45" fillId="29" borderId="0" xfId="0" applyFont="1" applyFill="1"/>
    <xf numFmtId="0" fontId="45" fillId="38" borderId="0" xfId="0" applyFont="1" applyFill="1"/>
    <xf numFmtId="0" fontId="47" fillId="0" borderId="0" xfId="0" applyFont="1"/>
    <xf numFmtId="10" fontId="26" fillId="0" borderId="18" xfId="0" applyNumberFormat="1" applyFont="1" applyBorder="1" applyAlignment="1">
      <alignment horizontal="center"/>
    </xf>
    <xf numFmtId="168" fontId="41" fillId="33" borderId="1" xfId="0" applyNumberFormat="1" applyFont="1" applyFill="1" applyBorder="1" applyAlignment="1">
      <alignment horizontal="center" vertical="center"/>
    </xf>
    <xf numFmtId="168" fontId="16" fillId="19" borderId="8" xfId="0" applyNumberFormat="1" applyFont="1" applyFill="1" applyBorder="1" applyAlignment="1">
      <alignment horizontal="center" vertical="center"/>
    </xf>
    <xf numFmtId="168" fontId="29" fillId="7" borderId="1" xfId="0" applyNumberFormat="1" applyFont="1" applyFill="1" applyBorder="1" applyAlignment="1">
      <alignment horizontal="center" vertical="center"/>
    </xf>
    <xf numFmtId="16" fontId="21" fillId="39" borderId="1" xfId="0" applyNumberFormat="1" applyFont="1" applyFill="1" applyBorder="1" applyAlignment="1">
      <alignment horizontal="center" vertical="center"/>
    </xf>
    <xf numFmtId="16" fontId="21" fillId="40" borderId="1" xfId="0" applyNumberFormat="1" applyFont="1" applyFill="1" applyBorder="1" applyAlignment="1">
      <alignment horizontal="center" vertical="center"/>
    </xf>
    <xf numFmtId="168" fontId="41" fillId="33" borderId="9" xfId="0" applyNumberFormat="1" applyFont="1" applyFill="1" applyBorder="1" applyAlignment="1">
      <alignment horizontal="center" vertical="center"/>
    </xf>
    <xf numFmtId="168" fontId="16" fillId="19" borderId="9" xfId="0" applyNumberFormat="1" applyFont="1" applyFill="1" applyBorder="1" applyAlignment="1">
      <alignment horizontal="center" vertical="center"/>
    </xf>
    <xf numFmtId="0" fontId="32" fillId="11" borderId="29" xfId="0" applyFont="1" applyFill="1" applyBorder="1" applyAlignment="1">
      <alignment horizontal="center" vertical="center"/>
    </xf>
    <xf numFmtId="0" fontId="32" fillId="34" borderId="29" xfId="0" applyFont="1" applyFill="1" applyBorder="1" applyAlignment="1">
      <alignment horizontal="center" vertical="center"/>
    </xf>
    <xf numFmtId="0" fontId="23" fillId="18" borderId="18" xfId="0" applyFont="1" applyFill="1" applyBorder="1" applyAlignment="1">
      <alignment horizontal="center" vertical="center"/>
    </xf>
    <xf numFmtId="0" fontId="23" fillId="42" borderId="18" xfId="0" applyFont="1" applyFill="1" applyBorder="1" applyAlignment="1">
      <alignment horizontal="center" vertical="center"/>
    </xf>
    <xf numFmtId="168" fontId="19" fillId="44" borderId="1" xfId="0" applyNumberFormat="1" applyFont="1" applyFill="1" applyBorder="1" applyAlignment="1">
      <alignment horizontal="center" vertical="center"/>
    </xf>
    <xf numFmtId="168" fontId="19" fillId="44" borderId="8" xfId="0" applyNumberFormat="1" applyFont="1" applyFill="1" applyBorder="1" applyAlignment="1">
      <alignment horizontal="center" vertical="center"/>
    </xf>
    <xf numFmtId="168" fontId="40" fillId="44" borderId="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3" fillId="2" borderId="2" xfId="0" applyNumberFormat="1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43" borderId="24" xfId="0" applyFont="1" applyFill="1" applyBorder="1" applyAlignment="1">
      <alignment horizontal="center" vertical="center"/>
    </xf>
    <xf numFmtId="0" fontId="35" fillId="10" borderId="29" xfId="0" applyFont="1" applyFill="1" applyBorder="1" applyAlignment="1">
      <alignment horizontal="center" vertical="center"/>
    </xf>
    <xf numFmtId="0" fontId="27" fillId="10" borderId="18" xfId="0" applyFont="1" applyFill="1" applyBorder="1" applyAlignment="1">
      <alignment vertical="center"/>
    </xf>
    <xf numFmtId="168" fontId="32" fillId="11" borderId="18" xfId="0" applyNumberFormat="1" applyFont="1" applyFill="1" applyBorder="1" applyAlignment="1">
      <alignment horizontal="center" vertical="center"/>
    </xf>
    <xf numFmtId="168" fontId="48" fillId="14" borderId="18" xfId="0" applyNumberFormat="1" applyFont="1" applyFill="1" applyBorder="1"/>
    <xf numFmtId="168" fontId="32" fillId="34" borderId="18" xfId="0" applyNumberFormat="1" applyFont="1" applyFill="1" applyBorder="1" applyAlignment="1">
      <alignment horizontal="center" vertical="center"/>
    </xf>
    <xf numFmtId="43" fontId="48" fillId="14" borderId="18" xfId="3" applyFont="1" applyFill="1" applyBorder="1"/>
    <xf numFmtId="0" fontId="2" fillId="0" borderId="0" xfId="0" applyFont="1"/>
    <xf numFmtId="164" fontId="30" fillId="45" borderId="2" xfId="0" applyNumberFormat="1" applyFont="1" applyFill="1" applyBorder="1" applyAlignment="1">
      <alignment horizontal="center" vertical="center"/>
    </xf>
    <xf numFmtId="168" fontId="16" fillId="19" borderId="34" xfId="0" applyNumberFormat="1" applyFont="1" applyFill="1" applyBorder="1" applyAlignment="1">
      <alignment horizontal="center" vertical="center"/>
    </xf>
    <xf numFmtId="168" fontId="41" fillId="33" borderId="33" xfId="0" applyNumberFormat="1" applyFont="1" applyFill="1" applyBorder="1" applyAlignment="1">
      <alignment horizontal="center" vertical="center"/>
    </xf>
    <xf numFmtId="168" fontId="41" fillId="33" borderId="18" xfId="0" applyNumberFormat="1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10" fontId="49" fillId="46" borderId="18" xfId="1" applyNumberFormat="1" applyFont="1" applyFill="1" applyBorder="1" applyAlignment="1">
      <alignment horizontal="center" vertical="center"/>
    </xf>
    <xf numFmtId="10" fontId="24" fillId="46" borderId="18" xfId="1" applyNumberFormat="1" applyFont="1" applyFill="1" applyBorder="1" applyAlignment="1">
      <alignment horizontal="center" vertical="center"/>
    </xf>
    <xf numFmtId="164" fontId="23" fillId="20" borderId="4" xfId="0" applyNumberFormat="1" applyFont="1" applyFill="1" applyBorder="1" applyAlignment="1">
      <alignment horizontal="center" vertical="center"/>
    </xf>
    <xf numFmtId="164" fontId="23" fillId="47" borderId="4" xfId="0" applyNumberFormat="1" applyFont="1" applyFill="1" applyBorder="1" applyAlignment="1">
      <alignment horizontal="center" vertical="center"/>
    </xf>
    <xf numFmtId="168" fontId="29" fillId="48" borderId="10" xfId="0" applyNumberFormat="1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168" fontId="29" fillId="12" borderId="10" xfId="0" applyNumberFormat="1" applyFont="1" applyFill="1" applyBorder="1" applyAlignment="1">
      <alignment horizontal="center" vertical="center"/>
    </xf>
    <xf numFmtId="10" fontId="24" fillId="10" borderId="10" xfId="1" applyNumberFormat="1" applyFont="1" applyFill="1" applyBorder="1" applyAlignment="1">
      <alignment horizontal="center" vertical="center"/>
    </xf>
    <xf numFmtId="10" fontId="17" fillId="22" borderId="18" xfId="0" applyNumberFormat="1" applyFont="1" applyFill="1" applyBorder="1" applyAlignment="1">
      <alignment horizontal="center" vertical="center"/>
    </xf>
    <xf numFmtId="166" fontId="26" fillId="0" borderId="0" xfId="1" applyNumberFormat="1" applyFont="1" applyFill="1" applyBorder="1" applyAlignment="1">
      <alignment horizontal="center" vertical="center"/>
    </xf>
    <xf numFmtId="10" fontId="26" fillId="0" borderId="0" xfId="0" applyNumberFormat="1" applyFont="1" applyAlignment="1">
      <alignment horizontal="center"/>
    </xf>
    <xf numFmtId="168" fontId="29" fillId="6" borderId="11" xfId="0" applyNumberFormat="1" applyFont="1" applyFill="1" applyBorder="1" applyAlignment="1">
      <alignment horizontal="center" vertical="center"/>
    </xf>
    <xf numFmtId="168" fontId="50" fillId="5" borderId="12" xfId="0" applyNumberFormat="1" applyFont="1" applyFill="1" applyBorder="1" applyAlignment="1">
      <alignment horizontal="center" vertical="center"/>
    </xf>
    <xf numFmtId="168" fontId="50" fillId="5" borderId="25" xfId="0" applyNumberFormat="1" applyFont="1" applyFill="1" applyBorder="1" applyAlignment="1">
      <alignment horizontal="center" vertical="center"/>
    </xf>
    <xf numFmtId="168" fontId="50" fillId="5" borderId="27" xfId="0" applyNumberFormat="1" applyFont="1" applyFill="1" applyBorder="1" applyAlignment="1">
      <alignment horizontal="center" vertical="center"/>
    </xf>
    <xf numFmtId="168" fontId="50" fillId="5" borderId="26" xfId="0" applyNumberFormat="1" applyFont="1" applyFill="1" applyBorder="1" applyAlignment="1">
      <alignment horizontal="center" vertical="center"/>
    </xf>
    <xf numFmtId="168" fontId="50" fillId="41" borderId="18" xfId="0" applyNumberFormat="1" applyFont="1" applyFill="1" applyBorder="1" applyAlignment="1">
      <alignment horizontal="center" vertical="center"/>
    </xf>
    <xf numFmtId="168" fontId="50" fillId="5" borderId="18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29" fillId="48" borderId="18" xfId="0" applyNumberFormat="1" applyFont="1" applyFill="1" applyBorder="1" applyAlignment="1">
      <alignment horizontal="center" vertical="center"/>
    </xf>
    <xf numFmtId="168" fontId="29" fillId="12" borderId="18" xfId="0" applyNumberFormat="1" applyFont="1" applyFill="1" applyBorder="1" applyAlignment="1">
      <alignment horizontal="center" vertical="center"/>
    </xf>
    <xf numFmtId="10" fontId="24" fillId="50" borderId="10" xfId="0" applyNumberFormat="1" applyFont="1" applyFill="1" applyBorder="1" applyAlignment="1">
      <alignment horizontal="center" vertical="center"/>
    </xf>
    <xf numFmtId="16" fontId="21" fillId="39" borderId="12" xfId="0" applyNumberFormat="1" applyFont="1" applyFill="1" applyBorder="1" applyAlignment="1">
      <alignment horizontal="center" vertical="center"/>
    </xf>
    <xf numFmtId="0" fontId="19" fillId="5" borderId="35" xfId="0" applyFont="1" applyFill="1" applyBorder="1" applyAlignment="1">
      <alignment horizontal="center" vertical="center"/>
    </xf>
    <xf numFmtId="0" fontId="19" fillId="6" borderId="35" xfId="0" applyFont="1" applyFill="1" applyBorder="1" applyAlignment="1">
      <alignment horizontal="center" vertical="center"/>
    </xf>
    <xf numFmtId="168" fontId="19" fillId="44" borderId="36" xfId="0" applyNumberFormat="1" applyFont="1" applyFill="1" applyBorder="1" applyAlignment="1">
      <alignment horizontal="center" vertical="center"/>
    </xf>
    <xf numFmtId="168" fontId="29" fillId="7" borderId="35" xfId="0" applyNumberFormat="1" applyFont="1" applyFill="1" applyBorder="1" applyAlignment="1">
      <alignment horizontal="center" vertical="center"/>
    </xf>
    <xf numFmtId="168" fontId="29" fillId="48" borderId="24" xfId="0" applyNumberFormat="1" applyFont="1" applyFill="1" applyBorder="1" applyAlignment="1">
      <alignment horizontal="center" vertical="center"/>
    </xf>
    <xf numFmtId="168" fontId="29" fillId="12" borderId="24" xfId="0" applyNumberFormat="1" applyFont="1" applyFill="1" applyBorder="1" applyAlignment="1">
      <alignment horizontal="center" vertical="center"/>
    </xf>
    <xf numFmtId="168" fontId="29" fillId="6" borderId="19" xfId="0" applyNumberFormat="1" applyFont="1" applyFill="1" applyBorder="1" applyAlignment="1">
      <alignment horizontal="center" vertical="center"/>
    </xf>
    <xf numFmtId="10" fontId="24" fillId="46" borderId="23" xfId="1" applyNumberFormat="1" applyFont="1" applyFill="1" applyBorder="1" applyAlignment="1">
      <alignment horizontal="center" vertical="center"/>
    </xf>
    <xf numFmtId="168" fontId="50" fillId="41" borderId="23" xfId="0" applyNumberFormat="1" applyFont="1" applyFill="1" applyBorder="1" applyAlignment="1">
      <alignment horizontal="center" vertical="center"/>
    </xf>
    <xf numFmtId="168" fontId="50" fillId="5" borderId="23" xfId="0" applyNumberFormat="1" applyFont="1" applyFill="1" applyBorder="1" applyAlignment="1">
      <alignment horizontal="center" vertical="center"/>
    </xf>
    <xf numFmtId="0" fontId="20" fillId="5" borderId="37" xfId="0" applyFont="1" applyFill="1" applyBorder="1" applyAlignment="1">
      <alignment horizontal="center" vertical="center"/>
    </xf>
    <xf numFmtId="0" fontId="20" fillId="3" borderId="38" xfId="0" applyFont="1" applyFill="1" applyBorder="1" applyAlignment="1">
      <alignment horizontal="center" vertical="center"/>
    </xf>
    <xf numFmtId="0" fontId="17" fillId="49" borderId="39" xfId="0" applyFont="1" applyFill="1" applyBorder="1"/>
    <xf numFmtId="168" fontId="17" fillId="22" borderId="39" xfId="0" applyNumberFormat="1" applyFont="1" applyFill="1" applyBorder="1" applyAlignment="1">
      <alignment horizontal="center"/>
    </xf>
    <xf numFmtId="0" fontId="17" fillId="22" borderId="40" xfId="0" applyFont="1" applyFill="1" applyBorder="1" applyAlignment="1">
      <alignment horizontal="center" vertical="center"/>
    </xf>
    <xf numFmtId="166" fontId="17" fillId="22" borderId="39" xfId="1" applyNumberFormat="1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6" borderId="18" xfId="0" applyFont="1" applyFill="1" applyBorder="1" applyAlignment="1">
      <alignment horizontal="center" vertical="center"/>
    </xf>
    <xf numFmtId="168" fontId="19" fillId="44" borderId="18" xfId="0" applyNumberFormat="1" applyFont="1" applyFill="1" applyBorder="1" applyAlignment="1">
      <alignment horizontal="center" vertical="center"/>
    </xf>
    <xf numFmtId="168" fontId="16" fillId="19" borderId="18" xfId="0" applyNumberFormat="1" applyFont="1" applyFill="1" applyBorder="1" applyAlignment="1">
      <alignment horizontal="center" vertical="center"/>
    </xf>
    <xf numFmtId="168" fontId="29" fillId="7" borderId="18" xfId="0" applyNumberFormat="1" applyFont="1" applyFill="1" applyBorder="1" applyAlignment="1">
      <alignment horizontal="center" vertical="center"/>
    </xf>
    <xf numFmtId="10" fontId="24" fillId="10" borderId="18" xfId="1" applyNumberFormat="1" applyFont="1" applyFill="1" applyBorder="1" applyAlignment="1">
      <alignment horizontal="center" vertical="center"/>
    </xf>
    <xf numFmtId="166" fontId="24" fillId="10" borderId="18" xfId="0" applyNumberFormat="1" applyFont="1" applyFill="1" applyBorder="1" applyAlignment="1">
      <alignment horizontal="center" vertical="center"/>
    </xf>
    <xf numFmtId="168" fontId="29" fillId="6" borderId="18" xfId="0" applyNumberFormat="1" applyFont="1" applyFill="1" applyBorder="1" applyAlignment="1">
      <alignment horizontal="center" vertical="center"/>
    </xf>
    <xf numFmtId="168" fontId="16" fillId="19" borderId="41" xfId="0" applyNumberFormat="1" applyFont="1" applyFill="1" applyBorder="1" applyAlignment="1">
      <alignment horizontal="center" vertical="center"/>
    </xf>
    <xf numFmtId="168" fontId="16" fillId="19" borderId="27" xfId="0" applyNumberFormat="1" applyFont="1" applyFill="1" applyBorder="1" applyAlignment="1">
      <alignment horizontal="center" vertical="center"/>
    </xf>
    <xf numFmtId="168" fontId="16" fillId="19" borderId="29" xfId="0" applyNumberFormat="1" applyFont="1" applyFill="1" applyBorder="1" applyAlignment="1">
      <alignment horizontal="center" vertical="center"/>
    </xf>
    <xf numFmtId="10" fontId="24" fillId="10" borderId="22" xfId="1" applyNumberFormat="1" applyFont="1" applyFill="1" applyBorder="1" applyAlignment="1">
      <alignment horizontal="center" vertical="center"/>
    </xf>
    <xf numFmtId="10" fontId="24" fillId="10" borderId="27" xfId="1" applyNumberFormat="1" applyFont="1" applyFill="1" applyBorder="1" applyAlignment="1">
      <alignment horizontal="center" vertical="center"/>
    </xf>
    <xf numFmtId="166" fontId="24" fillId="10" borderId="34" xfId="0" applyNumberFormat="1" applyFont="1" applyFill="1" applyBorder="1" applyAlignment="1">
      <alignment horizontal="center" vertical="center"/>
    </xf>
    <xf numFmtId="168" fontId="40" fillId="44" borderId="18" xfId="0" applyNumberFormat="1" applyFont="1" applyFill="1" applyBorder="1" applyAlignment="1">
      <alignment horizontal="center" vertical="center"/>
    </xf>
    <xf numFmtId="0" fontId="1" fillId="0" borderId="0" xfId="0" applyFont="1"/>
    <xf numFmtId="0" fontId="19" fillId="8" borderId="18" xfId="0" applyFont="1" applyFill="1" applyBorder="1" applyAlignment="1">
      <alignment horizontal="center" vertical="center"/>
    </xf>
    <xf numFmtId="0" fontId="19" fillId="9" borderId="18" xfId="0" applyFont="1" applyFill="1" applyBorder="1" applyAlignment="1">
      <alignment horizontal="center" vertical="center"/>
    </xf>
    <xf numFmtId="168" fontId="29" fillId="48" borderId="23" xfId="0" applyNumberFormat="1" applyFont="1" applyFill="1" applyBorder="1" applyAlignment="1">
      <alignment horizontal="center" vertical="center"/>
    </xf>
    <xf numFmtId="168" fontId="29" fillId="12" borderId="23" xfId="0" applyNumberFormat="1" applyFont="1" applyFill="1" applyBorder="1" applyAlignment="1">
      <alignment horizontal="center" vertical="center"/>
    </xf>
    <xf numFmtId="166" fontId="24" fillId="10" borderId="23" xfId="0" applyNumberFormat="1" applyFont="1" applyFill="1" applyBorder="1" applyAlignment="1">
      <alignment horizontal="center" vertical="center"/>
    </xf>
    <xf numFmtId="168" fontId="29" fillId="6" borderId="23" xfId="0" applyNumberFormat="1" applyFont="1" applyFill="1" applyBorder="1" applyAlignment="1">
      <alignment horizontal="center" vertical="center"/>
    </xf>
    <xf numFmtId="168" fontId="50" fillId="5" borderId="41" xfId="0" applyNumberFormat="1" applyFont="1" applyFill="1" applyBorder="1" applyAlignment="1">
      <alignment horizontal="center" vertical="center"/>
    </xf>
    <xf numFmtId="168" fontId="29" fillId="51" borderId="1" xfId="0" applyNumberFormat="1" applyFont="1" applyFill="1" applyBorder="1" applyAlignment="1">
      <alignment horizontal="center" vertical="center"/>
    </xf>
    <xf numFmtId="168" fontId="29" fillId="51" borderId="40" xfId="0" applyNumberFormat="1" applyFont="1" applyFill="1" applyBorder="1" applyAlignment="1">
      <alignment horizontal="center" vertical="center"/>
    </xf>
    <xf numFmtId="168" fontId="29" fillId="51" borderId="35" xfId="0" applyNumberFormat="1" applyFont="1" applyFill="1" applyBorder="1" applyAlignment="1">
      <alignment horizontal="center" vertical="center"/>
    </xf>
    <xf numFmtId="168" fontId="29" fillId="51" borderId="18" xfId="0" applyNumberFormat="1" applyFont="1" applyFill="1" applyBorder="1" applyAlignment="1">
      <alignment horizontal="center" vertical="center"/>
    </xf>
    <xf numFmtId="16" fontId="21" fillId="35" borderId="1" xfId="0" applyNumberFormat="1" applyFont="1" applyFill="1" applyBorder="1" applyAlignment="1">
      <alignment horizontal="center" vertical="center"/>
    </xf>
    <xf numFmtId="10" fontId="24" fillId="7" borderId="26" xfId="0" applyNumberFormat="1" applyFont="1" applyFill="1" applyBorder="1" applyAlignment="1">
      <alignment horizontal="center" vertical="center"/>
    </xf>
    <xf numFmtId="10" fontId="24" fillId="50" borderId="26" xfId="0" applyNumberFormat="1" applyFont="1" applyFill="1" applyBorder="1" applyAlignment="1">
      <alignment horizontal="center" vertical="center"/>
    </xf>
    <xf numFmtId="168" fontId="50" fillId="5" borderId="28" xfId="0" applyNumberFormat="1" applyFont="1" applyFill="1" applyBorder="1" applyAlignment="1">
      <alignment horizontal="center" vertical="center"/>
    </xf>
    <xf numFmtId="0" fontId="45" fillId="29" borderId="18" xfId="0" applyFont="1" applyFill="1" applyBorder="1"/>
    <xf numFmtId="16" fontId="20" fillId="52" borderId="1" xfId="0" applyNumberFormat="1" applyFont="1" applyFill="1" applyBorder="1" applyAlignment="1">
      <alignment horizontal="center" vertical="center"/>
    </xf>
    <xf numFmtId="168" fontId="17" fillId="22" borderId="3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" fontId="20" fillId="54" borderId="1" xfId="0" applyNumberFormat="1" applyFont="1" applyFill="1" applyBorder="1" applyAlignment="1">
      <alignment horizontal="center" vertical="center"/>
    </xf>
    <xf numFmtId="0" fontId="54" fillId="55" borderId="0" xfId="0" applyFont="1" applyFill="1" applyAlignment="1">
      <alignment horizontal="center" vertical="center"/>
    </xf>
    <xf numFmtId="0" fontId="26" fillId="58" borderId="18" xfId="0" applyFont="1" applyFill="1" applyBorder="1" applyAlignment="1">
      <alignment horizontal="center" vertical="center"/>
    </xf>
    <xf numFmtId="10" fontId="26" fillId="58" borderId="18" xfId="1" applyNumberFormat="1" applyFont="1" applyFill="1" applyBorder="1" applyAlignment="1">
      <alignment horizontal="center" vertical="center"/>
    </xf>
    <xf numFmtId="0" fontId="52" fillId="0" borderId="0" xfId="0" applyFont="1"/>
    <xf numFmtId="0" fontId="5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59" borderId="0" xfId="0" applyFill="1"/>
    <xf numFmtId="0" fontId="4" fillId="60" borderId="0" xfId="0" applyFont="1" applyFill="1"/>
    <xf numFmtId="0" fontId="11" fillId="60" borderId="0" xfId="0" applyFont="1" applyFill="1"/>
    <xf numFmtId="0" fontId="0" fillId="59" borderId="0" xfId="0" applyFill="1" applyAlignment="1">
      <alignment vertical="center"/>
    </xf>
    <xf numFmtId="0" fontId="17" fillId="59" borderId="0" xfId="0" applyFont="1" applyFill="1" applyAlignment="1">
      <alignment horizontal="center" vertical="center"/>
    </xf>
    <xf numFmtId="166" fontId="26" fillId="59" borderId="0" xfId="1" applyNumberFormat="1" applyFont="1" applyFill="1" applyBorder="1" applyAlignment="1">
      <alignment horizontal="center" vertical="center"/>
    </xf>
    <xf numFmtId="0" fontId="17" fillId="59" borderId="0" xfId="0" applyFont="1" applyFill="1"/>
    <xf numFmtId="0" fontId="4" fillId="59" borderId="0" xfId="0" applyFont="1" applyFill="1"/>
    <xf numFmtId="10" fontId="26" fillId="59" borderId="0" xfId="0" applyNumberFormat="1" applyFont="1" applyFill="1" applyAlignment="1">
      <alignment horizontal="center"/>
    </xf>
    <xf numFmtId="0" fontId="8" fillId="59" borderId="0" xfId="0" applyFont="1" applyFill="1"/>
    <xf numFmtId="0" fontId="9" fillId="59" borderId="0" xfId="0" applyFont="1" applyFill="1"/>
    <xf numFmtId="0" fontId="20" fillId="59" borderId="0" xfId="0" applyFont="1" applyFill="1" applyAlignment="1">
      <alignment horizontal="center" vertical="center"/>
    </xf>
    <xf numFmtId="0" fontId="47" fillId="59" borderId="0" xfId="0" applyFont="1" applyFill="1"/>
    <xf numFmtId="0" fontId="1" fillId="59" borderId="0" xfId="0" applyFont="1" applyFill="1"/>
    <xf numFmtId="0" fontId="53" fillId="55" borderId="44" xfId="0" applyFont="1" applyFill="1" applyBorder="1" applyAlignment="1">
      <alignment horizontal="center" vertical="center"/>
    </xf>
    <xf numFmtId="0" fontId="45" fillId="38" borderId="23" xfId="0" applyFont="1" applyFill="1" applyBorder="1"/>
    <xf numFmtId="0" fontId="45" fillId="53" borderId="18" xfId="0" applyFont="1" applyFill="1" applyBorder="1"/>
    <xf numFmtId="0" fontId="56" fillId="58" borderId="18" xfId="0" applyFont="1" applyFill="1" applyBorder="1" applyAlignment="1">
      <alignment horizontal="center" vertical="center"/>
    </xf>
    <xf numFmtId="10" fontId="49" fillId="31" borderId="18" xfId="1" applyNumberFormat="1" applyFont="1" applyFill="1" applyBorder="1" applyAlignment="1">
      <alignment horizontal="center" vertical="center"/>
    </xf>
    <xf numFmtId="16" fontId="51" fillId="58" borderId="45" xfId="0" applyNumberFormat="1" applyFont="1" applyFill="1" applyBorder="1" applyAlignment="1">
      <alignment horizontal="center" vertical="center"/>
    </xf>
    <xf numFmtId="16" fontId="51" fillId="58" borderId="4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 vertical="center" wrapText="1"/>
    </xf>
    <xf numFmtId="169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170" fontId="17" fillId="56" borderId="0" xfId="0" applyNumberFormat="1" applyFont="1" applyFill="1" applyAlignment="1">
      <alignment horizontal="center" vertical="center"/>
    </xf>
    <xf numFmtId="20" fontId="17" fillId="0" borderId="0" xfId="0" applyNumberFormat="1" applyFont="1" applyAlignment="1">
      <alignment horizontal="center" vertical="center"/>
    </xf>
    <xf numFmtId="20" fontId="17" fillId="56" borderId="0" xfId="0" applyNumberFormat="1" applyFont="1" applyFill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2" fillId="0" borderId="27" xfId="0" applyFont="1" applyBorder="1" applyAlignment="1">
      <alignment horizontal="center" vertical="center"/>
    </xf>
    <xf numFmtId="9" fontId="52" fillId="0" borderId="18" xfId="1" applyFont="1" applyBorder="1" applyAlignment="1">
      <alignment horizontal="center" vertical="center"/>
    </xf>
    <xf numFmtId="168" fontId="19" fillId="44" borderId="27" xfId="0" applyNumberFormat="1" applyFont="1" applyFill="1" applyBorder="1" applyAlignment="1">
      <alignment horizontal="center" vertical="center"/>
    </xf>
    <xf numFmtId="0" fontId="20" fillId="59" borderId="0" xfId="0" applyFont="1" applyFill="1"/>
    <xf numFmtId="0" fontId="58" fillId="59" borderId="0" xfId="0" applyFont="1" applyFill="1"/>
    <xf numFmtId="0" fontId="59" fillId="59" borderId="54" xfId="0" applyFont="1" applyFill="1" applyBorder="1"/>
    <xf numFmtId="0" fontId="59" fillId="59" borderId="0" xfId="0" applyFont="1" applyFill="1"/>
    <xf numFmtId="0" fontId="20" fillId="61" borderId="24" xfId="0" applyFont="1" applyFill="1" applyBorder="1" applyAlignment="1">
      <alignment horizontal="center" vertical="center"/>
    </xf>
    <xf numFmtId="0" fontId="20" fillId="26" borderId="24" xfId="0" applyFont="1" applyFill="1" applyBorder="1" applyAlignment="1">
      <alignment horizontal="center" vertical="center"/>
    </xf>
    <xf numFmtId="0" fontId="20" fillId="64" borderId="1" xfId="0" applyFont="1" applyFill="1" applyBorder="1" applyAlignment="1">
      <alignment horizontal="center" vertical="center"/>
    </xf>
    <xf numFmtId="168" fontId="21" fillId="63" borderId="1" xfId="0" applyNumberFormat="1" applyFont="1" applyFill="1" applyBorder="1" applyAlignment="1">
      <alignment horizontal="center" vertical="center"/>
    </xf>
    <xf numFmtId="168" fontId="21" fillId="63" borderId="8" xfId="0" applyNumberFormat="1" applyFont="1" applyFill="1" applyBorder="1" applyAlignment="1">
      <alignment horizontal="center" vertical="center"/>
    </xf>
    <xf numFmtId="168" fontId="21" fillId="63" borderId="36" xfId="0" applyNumberFormat="1" applyFont="1" applyFill="1" applyBorder="1" applyAlignment="1">
      <alignment horizontal="center" vertical="center"/>
    </xf>
    <xf numFmtId="168" fontId="21" fillId="63" borderId="18" xfId="0" applyNumberFormat="1" applyFont="1" applyFill="1" applyBorder="1" applyAlignment="1">
      <alignment horizontal="center" vertical="center"/>
    </xf>
    <xf numFmtId="168" fontId="21" fillId="63" borderId="27" xfId="0" applyNumberFormat="1" applyFont="1" applyFill="1" applyBorder="1" applyAlignment="1">
      <alignment horizontal="center" vertical="center"/>
    </xf>
    <xf numFmtId="168" fontId="21" fillId="62" borderId="1" xfId="0" applyNumberFormat="1" applyFont="1" applyFill="1" applyBorder="1" applyAlignment="1">
      <alignment horizontal="center" vertical="center"/>
    </xf>
    <xf numFmtId="168" fontId="21" fillId="62" borderId="8" xfId="0" applyNumberFormat="1" applyFont="1" applyFill="1" applyBorder="1" applyAlignment="1">
      <alignment horizontal="center" vertical="center"/>
    </xf>
    <xf numFmtId="168" fontId="21" fillId="62" borderId="36" xfId="0" applyNumberFormat="1" applyFont="1" applyFill="1" applyBorder="1" applyAlignment="1">
      <alignment horizontal="center" vertical="center"/>
    </xf>
    <xf numFmtId="168" fontId="21" fillId="62" borderId="18" xfId="0" applyNumberFormat="1" applyFont="1" applyFill="1" applyBorder="1" applyAlignment="1">
      <alignment horizontal="center" vertical="center"/>
    </xf>
    <xf numFmtId="168" fontId="21" fillId="62" borderId="27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61" fillId="13" borderId="15" xfId="0" applyNumberFormat="1" applyFont="1" applyFill="1" applyBorder="1" applyAlignment="1">
      <alignment horizontal="center" vertical="center"/>
    </xf>
    <xf numFmtId="0" fontId="62" fillId="25" borderId="18" xfId="0" applyFont="1" applyFill="1" applyBorder="1" applyAlignment="1">
      <alignment horizontal="center" vertical="center"/>
    </xf>
    <xf numFmtId="0" fontId="17" fillId="23" borderId="18" xfId="0" applyFont="1" applyFill="1" applyBorder="1" applyAlignment="1">
      <alignment horizontal="center" vertical="center"/>
    </xf>
    <xf numFmtId="171" fontId="17" fillId="23" borderId="18" xfId="1" applyNumberFormat="1" applyFont="1" applyFill="1" applyBorder="1" applyAlignment="1">
      <alignment horizontal="center" vertical="center"/>
    </xf>
    <xf numFmtId="10" fontId="17" fillId="23" borderId="18" xfId="1" applyNumberFormat="1" applyFont="1" applyFill="1" applyBorder="1" applyAlignment="1">
      <alignment horizontal="center" vertical="center"/>
    </xf>
    <xf numFmtId="168" fontId="32" fillId="34" borderId="18" xfId="2" applyNumberFormat="1" applyFont="1" applyFill="1" applyBorder="1" applyAlignment="1">
      <alignment horizontal="center" vertical="center"/>
    </xf>
    <xf numFmtId="1" fontId="26" fillId="58" borderId="18" xfId="1" applyNumberFormat="1" applyFont="1" applyFill="1" applyBorder="1" applyAlignment="1">
      <alignment horizontal="center" vertical="center"/>
    </xf>
    <xf numFmtId="0" fontId="17" fillId="56" borderId="0" xfId="0" applyFont="1" applyFill="1" applyAlignment="1">
      <alignment horizontal="center" vertical="center"/>
    </xf>
    <xf numFmtId="0" fontId="52" fillId="0" borderId="23" xfId="0" applyFont="1" applyBorder="1" applyAlignment="1">
      <alignment horizontal="center" vertical="center"/>
    </xf>
    <xf numFmtId="168" fontId="21" fillId="44" borderId="42" xfId="0" applyNumberFormat="1" applyFont="1" applyFill="1" applyBorder="1" applyAlignment="1">
      <alignment horizontal="center" vertical="center"/>
    </xf>
    <xf numFmtId="0" fontId="35" fillId="55" borderId="0" xfId="0" applyFont="1" applyFill="1" applyAlignment="1">
      <alignment horizontal="center" vertical="center"/>
    </xf>
    <xf numFmtId="16" fontId="51" fillId="58" borderId="59" xfId="0" applyNumberFormat="1" applyFont="1" applyFill="1" applyBorder="1" applyAlignment="1">
      <alignment horizontal="center" vertical="center"/>
    </xf>
    <xf numFmtId="0" fontId="17" fillId="0" borderId="40" xfId="0" applyFont="1" applyBorder="1"/>
    <xf numFmtId="0" fontId="17" fillId="0" borderId="39" xfId="0" applyFont="1" applyBorder="1"/>
    <xf numFmtId="0" fontId="17" fillId="0" borderId="57" xfId="0" applyFont="1" applyBorder="1"/>
    <xf numFmtId="9" fontId="17" fillId="0" borderId="27" xfId="1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0" fillId="55" borderId="43" xfId="0" applyFill="1" applyBorder="1" applyAlignment="1">
      <alignment horizontal="center"/>
    </xf>
    <xf numFmtId="49" fontId="67" fillId="0" borderId="29" xfId="0" applyNumberFormat="1" applyFont="1" applyBorder="1" applyAlignment="1">
      <alignment horizontal="center" vertical="center"/>
    </xf>
    <xf numFmtId="0" fontId="66" fillId="0" borderId="18" xfId="0" applyFont="1" applyBorder="1" applyAlignment="1">
      <alignment horizontal="center" vertical="center"/>
    </xf>
    <xf numFmtId="9" fontId="66" fillId="0" borderId="27" xfId="1" applyFont="1" applyBorder="1" applyAlignment="1">
      <alignment horizontal="center" vertical="center"/>
    </xf>
    <xf numFmtId="49" fontId="67" fillId="0" borderId="32" xfId="0" applyNumberFormat="1" applyFont="1" applyBorder="1" applyAlignment="1">
      <alignment horizontal="center" vertical="center"/>
    </xf>
    <xf numFmtId="0" fontId="66" fillId="0" borderId="40" xfId="0" applyFont="1" applyBorder="1" applyAlignment="1">
      <alignment vertical="center"/>
    </xf>
    <xf numFmtId="0" fontId="66" fillId="0" borderId="39" xfId="0" applyFont="1" applyBorder="1" applyAlignment="1">
      <alignment vertical="center"/>
    </xf>
    <xf numFmtId="0" fontId="66" fillId="0" borderId="57" xfId="0" applyFont="1" applyBorder="1" applyAlignment="1">
      <alignment vertical="center"/>
    </xf>
    <xf numFmtId="0" fontId="66" fillId="0" borderId="40" xfId="0" applyFont="1" applyBorder="1" applyAlignment="1">
      <alignment horizontal="center" vertical="center"/>
    </xf>
    <xf numFmtId="0" fontId="66" fillId="0" borderId="39" xfId="0" applyFont="1" applyBorder="1" applyAlignment="1">
      <alignment horizontal="center" vertical="center"/>
    </xf>
    <xf numFmtId="0" fontId="66" fillId="0" borderId="5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65" borderId="29" xfId="0" applyFont="1" applyFill="1" applyBorder="1" applyAlignment="1">
      <alignment horizontal="center" vertical="center"/>
    </xf>
    <xf numFmtId="0" fontId="17" fillId="65" borderId="32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left" vertical="center"/>
    </xf>
    <xf numFmtId="0" fontId="52" fillId="0" borderId="23" xfId="0" applyFont="1" applyBorder="1" applyAlignment="1">
      <alignment horizontal="left" vertical="center"/>
    </xf>
    <xf numFmtId="0" fontId="17" fillId="0" borderId="29" xfId="0" applyFont="1" applyBorder="1" applyAlignment="1">
      <alignment horizontal="left" vertical="center"/>
    </xf>
    <xf numFmtId="0" fontId="17" fillId="0" borderId="32" xfId="0" applyFont="1" applyBorder="1" applyAlignment="1">
      <alignment horizontal="left" vertical="center"/>
    </xf>
    <xf numFmtId="0" fontId="67" fillId="0" borderId="29" xfId="0" applyFont="1" applyBorder="1" applyAlignment="1">
      <alignment horizontal="center" vertical="center"/>
    </xf>
    <xf numFmtId="0" fontId="67" fillId="0" borderId="40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9" fontId="66" fillId="0" borderId="18" xfId="1" applyFont="1" applyFill="1" applyBorder="1" applyAlignment="1">
      <alignment horizontal="center" vertical="center"/>
    </xf>
    <xf numFmtId="9" fontId="66" fillId="0" borderId="27" xfId="1" applyFont="1" applyFill="1" applyBorder="1" applyAlignment="1">
      <alignment horizontal="center" vertical="center"/>
    </xf>
    <xf numFmtId="9" fontId="66" fillId="0" borderId="23" xfId="1" applyFont="1" applyFill="1" applyBorder="1" applyAlignment="1">
      <alignment horizontal="center" vertical="center"/>
    </xf>
    <xf numFmtId="9" fontId="66" fillId="0" borderId="60" xfId="1" applyFont="1" applyFill="1" applyBorder="1" applyAlignment="1">
      <alignment horizontal="center" vertical="center"/>
    </xf>
    <xf numFmtId="168" fontId="16" fillId="19" borderId="36" xfId="0" applyNumberFormat="1" applyFont="1" applyFill="1" applyBorder="1" applyAlignment="1">
      <alignment horizontal="center" vertical="center"/>
    </xf>
    <xf numFmtId="168" fontId="29" fillId="51" borderId="29" xfId="0" applyNumberFormat="1" applyFont="1" applyFill="1" applyBorder="1" applyAlignment="1">
      <alignment horizontal="center" vertical="center"/>
    </xf>
    <xf numFmtId="168" fontId="29" fillId="51" borderId="8" xfId="0" applyNumberFormat="1" applyFont="1" applyFill="1" applyBorder="1" applyAlignment="1">
      <alignment horizontal="center" vertical="center"/>
    </xf>
    <xf numFmtId="164" fontId="22" fillId="4" borderId="2" xfId="0" applyNumberFormat="1" applyFont="1" applyFill="1" applyBorder="1" applyAlignment="1">
      <alignment horizontal="center" vertical="center"/>
    </xf>
    <xf numFmtId="16" fontId="20" fillId="37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44" fontId="12" fillId="0" borderId="22" xfId="0" applyNumberFormat="1" applyFont="1" applyBorder="1" applyAlignment="1">
      <alignment horizontal="center" vertical="center"/>
    </xf>
    <xf numFmtId="44" fontId="12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5" fillId="0" borderId="0" xfId="0" applyFont="1"/>
    <xf numFmtId="0" fontId="23" fillId="18" borderId="5" xfId="0" applyFont="1" applyFill="1" applyBorder="1" applyAlignment="1">
      <alignment horizontal="center" vertical="center"/>
    </xf>
    <xf numFmtId="0" fontId="23" fillId="18" borderId="6" xfId="0" applyFont="1" applyFill="1" applyBorder="1" applyAlignment="1">
      <alignment horizontal="center" vertical="center"/>
    </xf>
    <xf numFmtId="9" fontId="14" fillId="13" borderId="13" xfId="0" applyNumberFormat="1" applyFont="1" applyFill="1" applyBorder="1" applyAlignment="1">
      <alignment horizontal="center" vertical="center"/>
    </xf>
    <xf numFmtId="0" fontId="15" fillId="14" borderId="14" xfId="0" applyFont="1" applyFill="1" applyBorder="1"/>
    <xf numFmtId="0" fontId="15" fillId="14" borderId="19" xfId="0" applyFont="1" applyFill="1" applyBorder="1"/>
    <xf numFmtId="0" fontId="15" fillId="14" borderId="20" xfId="0" applyFont="1" applyFill="1" applyBorder="1"/>
    <xf numFmtId="9" fontId="14" fillId="13" borderId="15" xfId="0" applyNumberFormat="1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5" fillId="10" borderId="18" xfId="0" applyFont="1" applyFill="1" applyBorder="1" applyAlignment="1">
      <alignment horizontal="center" vertical="center"/>
    </xf>
    <xf numFmtId="0" fontId="27" fillId="10" borderId="18" xfId="0" applyFont="1" applyFill="1" applyBorder="1" applyAlignment="1">
      <alignment horizontal="center" vertical="center"/>
    </xf>
    <xf numFmtId="0" fontId="28" fillId="10" borderId="18" xfId="0" applyFont="1" applyFill="1" applyBorder="1" applyAlignment="1">
      <alignment horizontal="center" vertical="center"/>
    </xf>
    <xf numFmtId="0" fontId="36" fillId="10" borderId="18" xfId="0" applyFont="1" applyFill="1" applyBorder="1" applyAlignment="1">
      <alignment horizontal="center" vertical="center"/>
    </xf>
    <xf numFmtId="44" fontId="28" fillId="11" borderId="18" xfId="0" applyNumberFormat="1" applyFont="1" applyFill="1" applyBorder="1" applyAlignment="1">
      <alignment horizontal="center" vertical="center"/>
    </xf>
    <xf numFmtId="8" fontId="33" fillId="11" borderId="18" xfId="0" applyNumberFormat="1" applyFont="1" applyFill="1" applyBorder="1" applyAlignment="1">
      <alignment horizontal="center" vertical="center"/>
    </xf>
    <xf numFmtId="0" fontId="34" fillId="11" borderId="18" xfId="0" applyFont="1" applyFill="1" applyBorder="1" applyAlignment="1">
      <alignment horizontal="center" vertical="center"/>
    </xf>
    <xf numFmtId="0" fontId="24" fillId="10" borderId="18" xfId="0" applyFont="1" applyFill="1" applyBorder="1" applyAlignment="1">
      <alignment horizontal="center" vertical="center"/>
    </xf>
    <xf numFmtId="165" fontId="33" fillId="11" borderId="18" xfId="0" applyNumberFormat="1" applyFont="1" applyFill="1" applyBorder="1" applyAlignment="1">
      <alignment horizontal="center" vertical="center"/>
    </xf>
    <xf numFmtId="0" fontId="33" fillId="11" borderId="18" xfId="0" applyFont="1" applyFill="1" applyBorder="1" applyAlignment="1">
      <alignment horizontal="center" vertical="center"/>
    </xf>
    <xf numFmtId="0" fontId="33" fillId="11" borderId="23" xfId="0" applyFont="1" applyFill="1" applyBorder="1" applyAlignment="1">
      <alignment horizontal="center" vertical="center"/>
    </xf>
    <xf numFmtId="0" fontId="27" fillId="10" borderId="18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44" fontId="2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6" fontId="14" fillId="13" borderId="15" xfId="0" applyNumberFormat="1" applyFont="1" applyFill="1" applyBorder="1" applyAlignment="1">
      <alignment horizontal="center" vertical="center"/>
    </xf>
    <xf numFmtId="166" fontId="15" fillId="14" borderId="21" xfId="0" applyNumberFormat="1" applyFont="1" applyFill="1" applyBorder="1" applyAlignment="1">
      <alignment vertical="center"/>
    </xf>
    <xf numFmtId="0" fontId="46" fillId="10" borderId="27" xfId="0" applyFont="1" applyFill="1" applyBorder="1" applyAlignment="1">
      <alignment horizontal="center" vertical="center"/>
    </xf>
    <xf numFmtId="0" fontId="46" fillId="10" borderId="28" xfId="0" applyFont="1" applyFill="1" applyBorder="1" applyAlignment="1">
      <alignment horizontal="center" vertical="center"/>
    </xf>
    <xf numFmtId="0" fontId="46" fillId="10" borderId="29" xfId="0" applyFont="1" applyFill="1" applyBorder="1" applyAlignment="1">
      <alignment horizontal="center" vertical="center"/>
    </xf>
    <xf numFmtId="0" fontId="28" fillId="10" borderId="29" xfId="0" applyFont="1" applyFill="1" applyBorder="1" applyAlignment="1">
      <alignment horizontal="center" vertical="center"/>
    </xf>
    <xf numFmtId="0" fontId="24" fillId="10" borderId="29" xfId="0" applyFont="1" applyFill="1" applyBorder="1" applyAlignment="1">
      <alignment horizontal="center" vertical="center"/>
    </xf>
    <xf numFmtId="168" fontId="33" fillId="11" borderId="29" xfId="0" applyNumberFormat="1" applyFont="1" applyFill="1" applyBorder="1" applyAlignment="1">
      <alignment horizontal="center" vertical="center"/>
    </xf>
    <xf numFmtId="168" fontId="33" fillId="11" borderId="18" xfId="0" applyNumberFormat="1" applyFont="1" applyFill="1" applyBorder="1" applyAlignment="1">
      <alignment horizontal="center" vertical="center"/>
    </xf>
    <xf numFmtId="168" fontId="33" fillId="11" borderId="32" xfId="0" applyNumberFormat="1" applyFont="1" applyFill="1" applyBorder="1" applyAlignment="1">
      <alignment horizontal="center" vertical="center"/>
    </xf>
    <xf numFmtId="168" fontId="33" fillId="11" borderId="23" xfId="0" applyNumberFormat="1" applyFont="1" applyFill="1" applyBorder="1" applyAlignment="1">
      <alignment horizontal="center" vertical="center"/>
    </xf>
    <xf numFmtId="0" fontId="23" fillId="18" borderId="30" xfId="0" applyFont="1" applyFill="1" applyBorder="1" applyAlignment="1">
      <alignment horizontal="center" vertical="center"/>
    </xf>
    <xf numFmtId="9" fontId="14" fillId="13" borderId="31" xfId="0" applyNumberFormat="1" applyFont="1" applyFill="1" applyBorder="1" applyAlignment="1">
      <alignment horizontal="center" vertical="center"/>
    </xf>
    <xf numFmtId="0" fontId="15" fillId="14" borderId="0" xfId="0" applyFont="1" applyFill="1"/>
    <xf numFmtId="0" fontId="35" fillId="10" borderId="29" xfId="0" applyFont="1" applyFill="1" applyBorder="1" applyAlignment="1">
      <alignment horizontal="center" vertical="center"/>
    </xf>
    <xf numFmtId="168" fontId="34" fillId="11" borderId="18" xfId="0" applyNumberFormat="1" applyFont="1" applyFill="1" applyBorder="1" applyAlignment="1">
      <alignment horizontal="center" vertical="center"/>
    </xf>
    <xf numFmtId="168" fontId="34" fillId="11" borderId="29" xfId="0" applyNumberFormat="1" applyFont="1" applyFill="1" applyBorder="1" applyAlignment="1">
      <alignment horizontal="center" vertical="center"/>
    </xf>
    <xf numFmtId="0" fontId="55" fillId="59" borderId="0" xfId="0" applyFont="1" applyFill="1" applyAlignment="1">
      <alignment horizontal="center" vertical="center"/>
    </xf>
    <xf numFmtId="0" fontId="57" fillId="55" borderId="27" xfId="0" applyFont="1" applyFill="1" applyBorder="1" applyAlignment="1">
      <alignment horizontal="center" vertical="center"/>
    </xf>
    <xf numFmtId="0" fontId="57" fillId="55" borderId="29" xfId="0" applyFont="1" applyFill="1" applyBorder="1" applyAlignment="1">
      <alignment horizontal="center" vertical="center"/>
    </xf>
    <xf numFmtId="0" fontId="51" fillId="58" borderId="48" xfId="0" applyFont="1" applyFill="1" applyBorder="1" applyAlignment="1">
      <alignment horizontal="left" vertical="center" wrapText="1"/>
    </xf>
    <xf numFmtId="0" fontId="51" fillId="58" borderId="49" xfId="0" applyFont="1" applyFill="1" applyBorder="1" applyAlignment="1">
      <alignment horizontal="left" vertical="center" wrapText="1"/>
    </xf>
    <xf numFmtId="0" fontId="51" fillId="58" borderId="50" xfId="0" applyFont="1" applyFill="1" applyBorder="1" applyAlignment="1">
      <alignment horizontal="left" vertical="center" wrapText="1"/>
    </xf>
    <xf numFmtId="44" fontId="12" fillId="59" borderId="0" xfId="0" applyNumberFormat="1" applyFont="1" applyFill="1" applyAlignment="1">
      <alignment horizontal="center" vertical="center"/>
    </xf>
    <xf numFmtId="0" fontId="51" fillId="58" borderId="27" xfId="0" applyFont="1" applyFill="1" applyBorder="1" applyAlignment="1">
      <alignment horizontal="left" vertical="center"/>
    </xf>
    <xf numFmtId="0" fontId="51" fillId="58" borderId="28" xfId="0" applyFont="1" applyFill="1" applyBorder="1" applyAlignment="1">
      <alignment horizontal="left" vertical="center"/>
    </xf>
    <xf numFmtId="0" fontId="51" fillId="58" borderId="46" xfId="0" applyFont="1" applyFill="1" applyBorder="1" applyAlignment="1">
      <alignment horizontal="left" vertical="center"/>
    </xf>
    <xf numFmtId="0" fontId="51" fillId="58" borderId="27" xfId="0" applyFont="1" applyFill="1" applyBorder="1" applyAlignment="1">
      <alignment horizontal="left" vertical="center" wrapText="1"/>
    </xf>
    <xf numFmtId="0" fontId="51" fillId="58" borderId="28" xfId="0" applyFont="1" applyFill="1" applyBorder="1" applyAlignment="1">
      <alignment horizontal="left" vertical="center" wrapText="1"/>
    </xf>
    <xf numFmtId="0" fontId="51" fillId="58" borderId="46" xfId="0" applyFont="1" applyFill="1" applyBorder="1" applyAlignment="1">
      <alignment horizontal="left" vertical="center" wrapText="1"/>
    </xf>
    <xf numFmtId="0" fontId="53" fillId="55" borderId="51" xfId="0" applyFont="1" applyFill="1" applyBorder="1" applyAlignment="1">
      <alignment horizontal="center" vertical="center"/>
    </xf>
    <xf numFmtId="0" fontId="53" fillId="55" borderId="52" xfId="0" applyFont="1" applyFill="1" applyBorder="1" applyAlignment="1">
      <alignment horizontal="center" vertical="center"/>
    </xf>
    <xf numFmtId="0" fontId="53" fillId="55" borderId="53" xfId="0" applyFont="1" applyFill="1" applyBorder="1" applyAlignment="1">
      <alignment horizontal="center" vertical="center"/>
    </xf>
    <xf numFmtId="166" fontId="61" fillId="13" borderId="55" xfId="0" applyNumberFormat="1" applyFont="1" applyFill="1" applyBorder="1" applyAlignment="1">
      <alignment horizontal="center" vertical="center"/>
    </xf>
    <xf numFmtId="166" fontId="61" fillId="13" borderId="14" xfId="0" applyNumberFormat="1" applyFont="1" applyFill="1" applyBorder="1" applyAlignment="1">
      <alignment horizontal="center" vertical="center"/>
    </xf>
    <xf numFmtId="0" fontId="49" fillId="53" borderId="18" xfId="0" applyFont="1" applyFill="1" applyBorder="1" applyAlignment="1">
      <alignment horizontal="center" vertical="center"/>
    </xf>
    <xf numFmtId="0" fontId="63" fillId="59" borderId="56" xfId="0" applyFont="1" applyFill="1" applyBorder="1" applyAlignment="1">
      <alignment horizontal="center" vertical="center"/>
    </xf>
    <xf numFmtId="16" fontId="51" fillId="58" borderId="18" xfId="0" applyNumberFormat="1" applyFont="1" applyFill="1" applyBorder="1" applyAlignment="1">
      <alignment horizontal="center" vertical="center"/>
    </xf>
    <xf numFmtId="0" fontId="51" fillId="58" borderId="18" xfId="0" applyFont="1" applyFill="1" applyBorder="1" applyAlignment="1">
      <alignment horizontal="left" vertical="center" wrapText="1"/>
    </xf>
    <xf numFmtId="0" fontId="51" fillId="58" borderId="60" xfId="0" applyFont="1" applyFill="1" applyBorder="1" applyAlignment="1">
      <alignment horizontal="left" vertical="center" wrapText="1"/>
    </xf>
    <xf numFmtId="0" fontId="51" fillId="58" borderId="56" xfId="0" applyFont="1" applyFill="1" applyBorder="1" applyAlignment="1">
      <alignment horizontal="left" vertical="center" wrapText="1"/>
    </xf>
    <xf numFmtId="0" fontId="51" fillId="58" borderId="61" xfId="0" applyFont="1" applyFill="1" applyBorder="1" applyAlignment="1">
      <alignment horizontal="left" vertical="center" wrapText="1"/>
    </xf>
    <xf numFmtId="0" fontId="57" fillId="55" borderId="57" xfId="0" applyFont="1" applyFill="1" applyBorder="1" applyAlignment="1">
      <alignment horizontal="center" vertical="center"/>
    </xf>
    <xf numFmtId="0" fontId="57" fillId="55" borderId="58" xfId="0" applyFont="1" applyFill="1" applyBorder="1" applyAlignment="1">
      <alignment horizontal="center" vertical="center"/>
    </xf>
    <xf numFmtId="172" fontId="65" fillId="58" borderId="18" xfId="0" applyNumberFormat="1" applyFont="1" applyFill="1" applyBorder="1" applyAlignment="1">
      <alignment horizontal="center" vertical="center"/>
    </xf>
    <xf numFmtId="0" fontId="70" fillId="57" borderId="18" xfId="0" applyFont="1" applyFill="1" applyBorder="1" applyAlignment="1">
      <alignment horizontal="center" vertical="center"/>
    </xf>
    <xf numFmtId="0" fontId="69" fillId="55" borderId="54" xfId="0" applyFont="1" applyFill="1" applyBorder="1" applyAlignment="1">
      <alignment horizontal="center" vertical="center"/>
    </xf>
    <xf numFmtId="0" fontId="69" fillId="55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57" fillId="57" borderId="18" xfId="0" applyFont="1" applyFill="1" applyBorder="1" applyAlignment="1">
      <alignment horizontal="center" vertical="center"/>
    </xf>
    <xf numFmtId="0" fontId="35" fillId="55" borderId="0" xfId="0" applyFont="1" applyFill="1" applyAlignment="1">
      <alignment horizontal="center" vertical="center"/>
    </xf>
    <xf numFmtId="0" fontId="68" fillId="57" borderId="18" xfId="0" applyFont="1" applyFill="1" applyBorder="1" applyAlignment="1">
      <alignment horizontal="center" vertical="center"/>
    </xf>
    <xf numFmtId="0" fontId="0" fillId="55" borderId="23" xfId="0" applyFill="1" applyBorder="1" applyAlignment="1">
      <alignment horizontal="center"/>
    </xf>
    <xf numFmtId="0" fontId="0" fillId="55" borderId="39" xfId="0" applyFill="1" applyBorder="1" applyAlignment="1">
      <alignment horizontal="center"/>
    </xf>
    <xf numFmtId="0" fontId="0" fillId="55" borderId="0" xfId="0" applyFill="1" applyAlignment="1">
      <alignment horizontal="center"/>
    </xf>
    <xf numFmtId="0" fontId="0" fillId="55" borderId="43" xfId="0" applyFill="1" applyBorder="1" applyAlignment="1">
      <alignment horizontal="center"/>
    </xf>
    <xf numFmtId="44" fontId="39" fillId="0" borderId="18" xfId="2" applyFont="1" applyBorder="1" applyAlignment="1">
      <alignment horizontal="left" vertical="center"/>
    </xf>
    <xf numFmtId="44" fontId="26" fillId="0" borderId="18" xfId="0" applyNumberFormat="1" applyFont="1" applyBorder="1" applyAlignment="1">
      <alignment horizontal="center" vertical="center"/>
    </xf>
    <xf numFmtId="0" fontId="38" fillId="25" borderId="18" xfId="0" applyFont="1" applyFill="1" applyBorder="1" applyAlignment="1">
      <alignment horizontal="center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10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Bol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Bol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Bol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Bol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Montserrat 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Montserrat 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Montserrat Bold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 Bold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Bold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numFmt numFmtId="170" formatCode="[$-10416]h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numFmt numFmtId="170" formatCode="[$-10416]hh:mm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numFmt numFmtId="170" formatCode="[$-10416]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numFmt numFmtId="170" formatCode="[$-10416]h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numFmt numFmtId="169" formatCode="[$-10416]dd/mm/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numFmt numFmtId="169" formatCode="[$-10416]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SemiBol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 SemiBold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HISTÓRICO DA BANCA - MAIO</a:t>
            </a:r>
          </a:p>
        </c:rich>
      </c:tx>
      <c:layout>
        <c:manualLayout>
          <c:xMode val="edge"/>
          <c:yMode val="edge"/>
          <c:x val="0.29240106580148784"/>
          <c:y val="0.10171447306140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4243854633146"/>
          <c:y val="0.23660120588612896"/>
          <c:w val="0.84741396019357551"/>
          <c:h val="0.58230843889158546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>
                  <a:lumMod val="50000"/>
                </a:schemeClr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cat>
            <c:numRef>
              <c:f>'MAIO, 25'!$A$5:$A$32</c:f>
              <c:numCache>
                <c:formatCode>d\-mmm</c:formatCode>
                <c:ptCount val="28"/>
                <c:pt idx="0">
                  <c:v>45781</c:v>
                </c:pt>
                <c:pt idx="1">
                  <c:v>45782</c:v>
                </c:pt>
                <c:pt idx="2">
                  <c:v>45783</c:v>
                </c:pt>
                <c:pt idx="3">
                  <c:v>45784</c:v>
                </c:pt>
                <c:pt idx="4">
                  <c:v>45785</c:v>
                </c:pt>
                <c:pt idx="5">
                  <c:v>45786</c:v>
                </c:pt>
                <c:pt idx="6">
                  <c:v>45787</c:v>
                </c:pt>
                <c:pt idx="7">
                  <c:v>45788</c:v>
                </c:pt>
                <c:pt idx="8">
                  <c:v>45789</c:v>
                </c:pt>
                <c:pt idx="9">
                  <c:v>45790</c:v>
                </c:pt>
                <c:pt idx="10">
                  <c:v>45791</c:v>
                </c:pt>
                <c:pt idx="11">
                  <c:v>45792</c:v>
                </c:pt>
                <c:pt idx="12">
                  <c:v>45793</c:v>
                </c:pt>
                <c:pt idx="13">
                  <c:v>45794</c:v>
                </c:pt>
                <c:pt idx="14">
                  <c:v>45795</c:v>
                </c:pt>
                <c:pt idx="15">
                  <c:v>45796</c:v>
                </c:pt>
                <c:pt idx="16">
                  <c:v>45797</c:v>
                </c:pt>
                <c:pt idx="17">
                  <c:v>45798</c:v>
                </c:pt>
                <c:pt idx="18">
                  <c:v>45799</c:v>
                </c:pt>
                <c:pt idx="19">
                  <c:v>45800</c:v>
                </c:pt>
                <c:pt idx="20">
                  <c:v>45801</c:v>
                </c:pt>
                <c:pt idx="21">
                  <c:v>45802</c:v>
                </c:pt>
                <c:pt idx="22">
                  <c:v>45803</c:v>
                </c:pt>
                <c:pt idx="23">
                  <c:v>45804</c:v>
                </c:pt>
                <c:pt idx="24">
                  <c:v>45805</c:v>
                </c:pt>
                <c:pt idx="25">
                  <c:v>45806</c:v>
                </c:pt>
                <c:pt idx="26">
                  <c:v>45807</c:v>
                </c:pt>
                <c:pt idx="27">
                  <c:v>45808</c:v>
                </c:pt>
              </c:numCache>
            </c:numRef>
          </c:cat>
          <c:val>
            <c:numRef>
              <c:f>'MAIO, 25'!$M$5:$M$32</c:f>
              <c:numCache>
                <c:formatCode>_-[$$-409]* #,##0.00_ ;_-[$$-409]* \-#,##0.00\ ;_-[$$-409]* "-"??_ ;_-@_ </c:formatCode>
                <c:ptCount val="28"/>
                <c:pt idx="0">
                  <c:v>413.17</c:v>
                </c:pt>
                <c:pt idx="1">
                  <c:v>420.45</c:v>
                </c:pt>
                <c:pt idx="2">
                  <c:v>437.73</c:v>
                </c:pt>
                <c:pt idx="3">
                  <c:v>437.73</c:v>
                </c:pt>
                <c:pt idx="4">
                  <c:v>394.13</c:v>
                </c:pt>
                <c:pt idx="5">
                  <c:v>411.41</c:v>
                </c:pt>
                <c:pt idx="6">
                  <c:v>411.41</c:v>
                </c:pt>
                <c:pt idx="7">
                  <c:v>411.41</c:v>
                </c:pt>
                <c:pt idx="8">
                  <c:v>429.41</c:v>
                </c:pt>
                <c:pt idx="9">
                  <c:v>439.89</c:v>
                </c:pt>
                <c:pt idx="10">
                  <c:v>453.45</c:v>
                </c:pt>
                <c:pt idx="11">
                  <c:v>465.49</c:v>
                </c:pt>
                <c:pt idx="12">
                  <c:v>458.01</c:v>
                </c:pt>
                <c:pt idx="13">
                  <c:v>469.71</c:v>
                </c:pt>
                <c:pt idx="14">
                  <c:v>468.15</c:v>
                </c:pt>
                <c:pt idx="15">
                  <c:v>478.95</c:v>
                </c:pt>
                <c:pt idx="16">
                  <c:v>490.15</c:v>
                </c:pt>
                <c:pt idx="17">
                  <c:v>441.15</c:v>
                </c:pt>
                <c:pt idx="18">
                  <c:v>500.1</c:v>
                </c:pt>
                <c:pt idx="19">
                  <c:v>511.8</c:v>
                </c:pt>
                <c:pt idx="20">
                  <c:v>511.8</c:v>
                </c:pt>
                <c:pt idx="21">
                  <c:v>511.8</c:v>
                </c:pt>
                <c:pt idx="22">
                  <c:v>523.74</c:v>
                </c:pt>
                <c:pt idx="23">
                  <c:v>520.54</c:v>
                </c:pt>
                <c:pt idx="24">
                  <c:v>523.94000000000005</c:v>
                </c:pt>
                <c:pt idx="25">
                  <c:v>523.94000000000005</c:v>
                </c:pt>
                <c:pt idx="26">
                  <c:v>508.94</c:v>
                </c:pt>
                <c:pt idx="27">
                  <c:v>508.94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59-CF47-8288-3EA02499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96096"/>
        <c:axId val="417796576"/>
      </c:lineChart>
      <c:dateAx>
        <c:axId val="417796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417796576"/>
        <c:crosses val="autoZero"/>
        <c:auto val="1"/>
        <c:lblOffset val="100"/>
        <c:baseTimeUnit val="days"/>
      </c:dateAx>
      <c:valAx>
        <c:axId val="417796576"/>
        <c:scaling>
          <c:orientation val="minMax"/>
          <c:max val="58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41779609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latin typeface="Montserrat ExtraBold" pitchFamily="2" charset="77"/>
              </a:rPr>
              <a:t>ASSERTIVIDADE POR ATIVO</a:t>
            </a:r>
          </a:p>
        </c:rich>
      </c:tx>
      <c:layout>
        <c:manualLayout>
          <c:xMode val="edge"/>
          <c:yMode val="edge"/>
          <c:x val="0.31847498698694354"/>
          <c:y val="3.3754282792090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0.12482936607604618"/>
          <c:y val="0.10137714053019571"/>
          <c:w val="0.85605072792921821"/>
          <c:h val="0.80170497784956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'REGISTROS DE OPERAÇÕES '!$AG$4</c:f>
              <c:strCache>
                <c:ptCount val="1"/>
                <c:pt idx="0">
                  <c:v>Assertividade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'REGISTROS DE OPERAÇÕES '!$AC$5:$AC$9</c:f>
              <c:strCache>
                <c:ptCount val="5"/>
                <c:pt idx="0">
                  <c:v>BTC/USDT</c:v>
                </c:pt>
                <c:pt idx="1">
                  <c:v>ETH/USDT</c:v>
                </c:pt>
                <c:pt idx="2">
                  <c:v>SOL/USDT</c:v>
                </c:pt>
                <c:pt idx="3">
                  <c:v>MEMX/USDT</c:v>
                </c:pt>
                <c:pt idx="4">
                  <c:v>IDX/USDT</c:v>
                </c:pt>
              </c:strCache>
            </c:strRef>
          </c:cat>
          <c:val>
            <c:numRef>
              <c:f>'REGISTROS DE OPERAÇÕES '!$AG$5:$AG$9</c:f>
              <c:numCache>
                <c:formatCode>0%</c:formatCode>
                <c:ptCount val="5"/>
                <c:pt idx="0">
                  <c:v>0.58620689655172409</c:v>
                </c:pt>
                <c:pt idx="1">
                  <c:v>0.60869565217391308</c:v>
                </c:pt>
                <c:pt idx="2">
                  <c:v>0.75</c:v>
                </c:pt>
                <c:pt idx="3">
                  <c:v>0.5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1-5845-BCDB-76A8804D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355935"/>
        <c:axId val="1074357647"/>
      </c:barChart>
      <c:catAx>
        <c:axId val="107435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SemiBold" pitchFamily="2" charset="77"/>
                <a:ea typeface="+mn-ea"/>
                <a:cs typeface="+mn-cs"/>
              </a:defRPr>
            </a:pPr>
            <a:endParaRPr lang="en-BR"/>
          </a:p>
        </c:txPr>
        <c:crossAx val="1074357647"/>
        <c:crosses val="autoZero"/>
        <c:auto val="1"/>
        <c:lblAlgn val="ctr"/>
        <c:lblOffset val="100"/>
        <c:noMultiLvlLbl val="0"/>
      </c:catAx>
      <c:valAx>
        <c:axId val="10743576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SemiBold" pitchFamily="2" charset="77"/>
                <a:ea typeface="+mn-ea"/>
                <a:cs typeface="+mn-cs"/>
              </a:defRPr>
            </a:pPr>
            <a:endParaRPr lang="en-BR"/>
          </a:p>
        </c:txPr>
        <c:crossAx val="107435593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itchFamily="2" charset="77"/>
                <a:ea typeface="+mn-ea"/>
                <a:cs typeface="+mn-cs"/>
              </a:defRPr>
            </a:pPr>
            <a:r>
              <a:rPr lang="pt-BR" sz="1600" b="1" i="0">
                <a:latin typeface="Montserrat ExtraBold" pitchFamily="2" charset="77"/>
              </a:rPr>
              <a:t>WINS/LOSS</a:t>
            </a:r>
            <a:r>
              <a:rPr lang="pt-BR" sz="1600" b="1" i="0" baseline="0">
                <a:latin typeface="Montserrat ExtraBold" pitchFamily="2" charset="77"/>
              </a:rPr>
              <a:t> POR ESTRATEGIA</a:t>
            </a:r>
            <a:endParaRPr lang="pt-BR" sz="1600" b="1" i="0">
              <a:latin typeface="Montserrat ExtraBold" pitchFamily="2" charset="77"/>
            </a:endParaRPr>
          </a:p>
        </c:rich>
      </c:tx>
      <c:layout>
        <c:manualLayout>
          <c:xMode val="edge"/>
          <c:yMode val="edge"/>
          <c:x val="0.25193465895886719"/>
          <c:y val="2.9567964094942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 ExtraBold" pitchFamily="2" charset="77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904140684361911E-2"/>
          <c:y val="0.10038938801338995"/>
          <c:w val="0.88381226027942394"/>
          <c:h val="0.72666915711919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'REGISTROS DE OPERAÇÕES '!$AH$5:$AH$8</c:f>
              <c:strCache>
                <c:ptCount val="4"/>
                <c:pt idx="0">
                  <c:v>Bearish clássico</c:v>
                </c:pt>
                <c:pt idx="1">
                  <c:v>Bullish clássico</c:v>
                </c:pt>
                <c:pt idx="2">
                  <c:v>Bearish - Exaustão + Rompimento</c:v>
                </c:pt>
                <c:pt idx="3">
                  <c:v>Bullish - Exaustão + Rompimento</c:v>
                </c:pt>
              </c:strCache>
            </c:strRef>
          </c:cat>
          <c:val>
            <c:numRef>
              <c:f>'REGISTROS DE OPERAÇÕES '!$AI$5:$AI$8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F-9A4B-AD62-6DA86DE436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'REGISTROS DE OPERAÇÕES '!$AH$5:$AH$8</c:f>
              <c:strCache>
                <c:ptCount val="4"/>
                <c:pt idx="0">
                  <c:v>Bearish clássico</c:v>
                </c:pt>
                <c:pt idx="1">
                  <c:v>Bullish clássico</c:v>
                </c:pt>
                <c:pt idx="2">
                  <c:v>Bearish - Exaustão + Rompimento</c:v>
                </c:pt>
                <c:pt idx="3">
                  <c:v>Bullish - Exaustão + Rompimento</c:v>
                </c:pt>
              </c:strCache>
            </c:strRef>
          </c:cat>
          <c:val>
            <c:numRef>
              <c:f>'REGISTROS DE OPERAÇÕES '!$AJ$5:$AJ$8</c:f>
              <c:numCache>
                <c:formatCode>General</c:formatCode>
                <c:ptCount val="4"/>
                <c:pt idx="0">
                  <c:v>17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F-9A4B-AD62-6DA86DE43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089567"/>
        <c:axId val="1778091279"/>
      </c:barChart>
      <c:catAx>
        <c:axId val="17780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txPr>
        <c:crossAx val="1778091279"/>
        <c:crosses val="autoZero"/>
        <c:auto val="1"/>
        <c:lblAlgn val="ctr"/>
        <c:lblOffset val="100"/>
        <c:noMultiLvlLbl val="0"/>
      </c:catAx>
      <c:valAx>
        <c:axId val="17780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SemiBold" pitchFamily="2" charset="77"/>
                <a:ea typeface="+mn-ea"/>
                <a:cs typeface="+mn-cs"/>
              </a:defRPr>
            </a:pPr>
            <a:endParaRPr lang="pt-BR"/>
          </a:p>
        </c:txPr>
        <c:crossAx val="177808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>
                <a:latin typeface="Montserrat ExtraBold" pitchFamily="2" charset="77"/>
              </a:rPr>
              <a:t>ASSERTIVIDADE</a:t>
            </a:r>
            <a:r>
              <a:rPr lang="pt-BR" sz="1600" b="1" i="0" baseline="0">
                <a:latin typeface="Montserrat ExtraBold" pitchFamily="2" charset="77"/>
              </a:rPr>
              <a:t> POR ESTRATEGIA</a:t>
            </a:r>
            <a:endParaRPr lang="pt-BR" sz="1600" b="1" i="0">
              <a:latin typeface="Montserrat ExtraBold" pitchFamily="2" charset="77"/>
            </a:endParaRPr>
          </a:p>
        </c:rich>
      </c:tx>
      <c:layout>
        <c:manualLayout>
          <c:xMode val="edge"/>
          <c:yMode val="edge"/>
          <c:x val="0.22673782569882575"/>
          <c:y val="4.1267943255560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834586671600985"/>
          <c:y val="0.12544398289444272"/>
          <c:w val="0.81771749394683235"/>
          <c:h val="0.74602928770653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'REGISTROS DE OPERAÇÕES '!$AH$5:$AH$8</c:f>
              <c:strCache>
                <c:ptCount val="4"/>
                <c:pt idx="0">
                  <c:v>Bearish clássico</c:v>
                </c:pt>
                <c:pt idx="1">
                  <c:v>Bullish clássico</c:v>
                </c:pt>
                <c:pt idx="2">
                  <c:v>Bearish - Exaustão + Rompimento</c:v>
                </c:pt>
                <c:pt idx="3">
                  <c:v>Bullish - Exaustão + Rompimento</c:v>
                </c:pt>
              </c:strCache>
            </c:strRef>
          </c:cat>
          <c:val>
            <c:numRef>
              <c:f>'REGISTROS DE OPERAÇÕES '!$AL$5:$AL$8</c:f>
              <c:numCache>
                <c:formatCode>0%</c:formatCode>
                <c:ptCount val="4"/>
                <c:pt idx="0">
                  <c:v>0.59523809523809523</c:v>
                </c:pt>
                <c:pt idx="1">
                  <c:v>0.62068965517241381</c:v>
                </c:pt>
                <c:pt idx="2">
                  <c:v>0.66666666666666663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9-434F-B4C8-A791F982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17023"/>
        <c:axId val="930773631"/>
      </c:barChart>
      <c:catAx>
        <c:axId val="93081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txPr>
        <c:crossAx val="930773631"/>
        <c:crosses val="autoZero"/>
        <c:auto val="1"/>
        <c:lblAlgn val="ctr"/>
        <c:lblOffset val="100"/>
        <c:noMultiLvlLbl val="0"/>
      </c:catAx>
      <c:valAx>
        <c:axId val="930773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SemiBold" pitchFamily="2" charset="77"/>
                <a:ea typeface="+mn-ea"/>
                <a:cs typeface="+mn-cs"/>
              </a:defRPr>
            </a:pPr>
            <a:endParaRPr lang="pt-BR"/>
          </a:p>
        </c:txPr>
        <c:crossAx val="9308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Montserrat ExtraBold" pitchFamily="2" charset="77"/>
              </a:rPr>
              <a:t>OPERAÇOES POR ESTRATEGIA</a:t>
            </a:r>
          </a:p>
        </c:rich>
      </c:tx>
      <c:layout>
        <c:manualLayout>
          <c:xMode val="edge"/>
          <c:yMode val="edge"/>
          <c:x val="0.26282108931628306"/>
          <c:y val="3.9541041507600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0075632379537409"/>
          <c:y val="0.12414315303938911"/>
          <c:w val="0.64455393843049169"/>
          <c:h val="0.784101131555244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'REGISTROS DE OPERAÇÕES '!$AH$5:$AH$8</c:f>
              <c:strCache>
                <c:ptCount val="4"/>
                <c:pt idx="0">
                  <c:v>Bearish clássico</c:v>
                </c:pt>
                <c:pt idx="1">
                  <c:v>Bullish clássico</c:v>
                </c:pt>
                <c:pt idx="2">
                  <c:v>Bearish - Exaustão + Rompimento</c:v>
                </c:pt>
                <c:pt idx="3">
                  <c:v>Bullish - Exaustão + Rompimento</c:v>
                </c:pt>
              </c:strCache>
            </c:strRef>
          </c:cat>
          <c:val>
            <c:numRef>
              <c:f>'REGISTROS DE OPERAÇÕES '!$AK$5:$AK$8</c:f>
              <c:numCache>
                <c:formatCode>General</c:formatCode>
                <c:ptCount val="4"/>
                <c:pt idx="0">
                  <c:v>42</c:v>
                </c:pt>
                <c:pt idx="1">
                  <c:v>29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2-3044-8BB5-03780C9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904815"/>
        <c:axId val="930906527"/>
      </c:barChart>
      <c:valAx>
        <c:axId val="93090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SemiBold" pitchFamily="2" charset="77"/>
                <a:ea typeface="+mn-ea"/>
                <a:cs typeface="+mn-cs"/>
              </a:defRPr>
            </a:pPr>
            <a:endParaRPr lang="pt-BR"/>
          </a:p>
        </c:txPr>
        <c:crossAx val="930904815"/>
        <c:crosses val="autoZero"/>
        <c:crossBetween val="between"/>
      </c:valAx>
      <c:catAx>
        <c:axId val="93090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itchFamily="2" charset="77"/>
                <a:ea typeface="+mn-ea"/>
                <a:cs typeface="+mn-cs"/>
              </a:defRPr>
            </a:pPr>
            <a:endParaRPr lang="pt-BR"/>
          </a:p>
        </c:txPr>
        <c:crossAx val="930906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 ExtraBold" pitchFamily="2" charset="77"/>
              </a:rPr>
              <a:t>WINS/LOSS PARA DIFERENTES </a:t>
            </a:r>
            <a:b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 ExtraBold" pitchFamily="2" charset="77"/>
              </a:rPr>
            </a:b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 ExtraBold" pitchFamily="2" charset="77"/>
              </a:rPr>
              <a:t>QUANTIDADE DE ERROS NA OPERAÇAO</a:t>
            </a:r>
          </a:p>
        </c:rich>
      </c:tx>
      <c:layout>
        <c:manualLayout>
          <c:xMode val="edge"/>
          <c:yMode val="edge"/>
          <c:x val="0.20884990869375117"/>
          <c:y val="2.5060550864844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446444523852064"/>
          <c:y val="0.11930719689490447"/>
          <c:w val="0.85121772824727537"/>
          <c:h val="0.745468893260710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'REGISTROS DE OPERAÇÕES '!$AN$4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'REGISTROS DE OPERAÇÕES '!$AM$5:$AM$9</c:f>
              <c:strCache>
                <c:ptCount val="5"/>
                <c:pt idx="0">
                  <c:v>Setup ideal</c:v>
                </c:pt>
                <c:pt idx="1">
                  <c:v>Um</c:v>
                </c:pt>
                <c:pt idx="2">
                  <c:v>Dois</c:v>
                </c:pt>
                <c:pt idx="3">
                  <c:v>Três</c:v>
                </c:pt>
                <c:pt idx="4">
                  <c:v>Quatro ou Mais</c:v>
                </c:pt>
              </c:strCache>
            </c:strRef>
          </c:cat>
          <c:val>
            <c:numRef>
              <c:f>'REGISTROS DE OPERAÇÕES '!$AN$5:$AN$9</c:f>
              <c:numCache>
                <c:formatCode>General</c:formatCode>
                <c:ptCount val="5"/>
                <c:pt idx="0">
                  <c:v>36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A-A441-9506-F08FA9AF2F84}"/>
            </c:ext>
          </c:extLst>
        </c:ser>
        <c:ser>
          <c:idx val="1"/>
          <c:order val="1"/>
          <c:tx>
            <c:strRef>
              <c:f>'REGISTROS DE OPERAÇÕES '!$AO$4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'REGISTROS DE OPERAÇÕES '!$AM$5:$AM$9</c:f>
              <c:strCache>
                <c:ptCount val="5"/>
                <c:pt idx="0">
                  <c:v>Setup ideal</c:v>
                </c:pt>
                <c:pt idx="1">
                  <c:v>Um</c:v>
                </c:pt>
                <c:pt idx="2">
                  <c:v>Dois</c:v>
                </c:pt>
                <c:pt idx="3">
                  <c:v>Três</c:v>
                </c:pt>
                <c:pt idx="4">
                  <c:v>Quatro ou Mais</c:v>
                </c:pt>
              </c:strCache>
            </c:strRef>
          </c:cat>
          <c:val>
            <c:numRef>
              <c:f>'REGISTROS DE OPERAÇÕES '!$AO$5:$AO$9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A-A441-9506-F08FA9AF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748208"/>
        <c:axId val="497749920"/>
      </c:barChart>
      <c:catAx>
        <c:axId val="4977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SemiBold" pitchFamily="2" charset="77"/>
                <a:ea typeface="+mn-ea"/>
                <a:cs typeface="+mn-cs"/>
              </a:defRPr>
            </a:pPr>
            <a:endParaRPr lang="pt-BR"/>
          </a:p>
        </c:txPr>
        <c:crossAx val="497749920"/>
        <c:crosses val="autoZero"/>
        <c:auto val="1"/>
        <c:lblAlgn val="ctr"/>
        <c:lblOffset val="100"/>
        <c:noMultiLvlLbl val="0"/>
      </c:catAx>
      <c:valAx>
        <c:axId val="4977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txPr>
        <c:crossAx val="4977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44969403251744"/>
          <c:y val="0.93733494973258358"/>
          <c:w val="0.25917948881445835"/>
          <c:h val="3.3862658159038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77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 ExtraBold" pitchFamily="2" charset="77"/>
              </a:rPr>
              <a:t>ASSERTIVIDADE PARA DIFERENTES</a:t>
            </a:r>
          </a:p>
          <a:p>
            <a:pPr>
              <a:defRPr sz="1600"/>
            </a:pP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 ExtraBold" pitchFamily="2" charset="77"/>
              </a:rPr>
              <a:t>QUANTIDADE DE ERROS NA OPERAÇAO</a:t>
            </a:r>
          </a:p>
        </c:rich>
      </c:tx>
      <c:layout>
        <c:manualLayout>
          <c:xMode val="edge"/>
          <c:yMode val="edge"/>
          <c:x val="0.20684741717582253"/>
          <c:y val="3.4021425318660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679876361952552"/>
          <c:y val="0.12747311827956986"/>
          <c:w val="0.83328308818129104"/>
          <c:h val="0.775073736432012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22-9D4B-B991-4318A70C0B61}"/>
              </c:ext>
            </c:extLst>
          </c:dPt>
          <c:cat>
            <c:strRef>
              <c:f>'REGISTROS DE OPERAÇÕES '!$AM$5:$AM$9</c:f>
              <c:strCache>
                <c:ptCount val="5"/>
                <c:pt idx="0">
                  <c:v>Setup ideal</c:v>
                </c:pt>
                <c:pt idx="1">
                  <c:v>Um</c:v>
                </c:pt>
                <c:pt idx="2">
                  <c:v>Dois</c:v>
                </c:pt>
                <c:pt idx="3">
                  <c:v>Três</c:v>
                </c:pt>
                <c:pt idx="4">
                  <c:v>Quatro ou Mais</c:v>
                </c:pt>
              </c:strCache>
            </c:strRef>
          </c:cat>
          <c:val>
            <c:numRef>
              <c:f>'REGISTROS DE OPERAÇÕES '!$AP$5:$AP$9</c:f>
              <c:numCache>
                <c:formatCode>0%</c:formatCode>
                <c:ptCount val="5"/>
                <c:pt idx="0">
                  <c:v>0.78260869565217395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2-9D4B-B991-4318A70C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378672"/>
        <c:axId val="434380384"/>
      </c:lineChart>
      <c:catAx>
        <c:axId val="4343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SemiBold" pitchFamily="2" charset="77"/>
                <a:ea typeface="+mn-ea"/>
                <a:cs typeface="+mn-cs"/>
              </a:defRPr>
            </a:pPr>
            <a:endParaRPr lang="pt-BR"/>
          </a:p>
        </c:txPr>
        <c:crossAx val="434380384"/>
        <c:crosses val="autoZero"/>
        <c:auto val="1"/>
        <c:lblAlgn val="ctr"/>
        <c:lblOffset val="100"/>
        <c:noMultiLvlLbl val="0"/>
      </c:catAx>
      <c:valAx>
        <c:axId val="434380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txPr>
        <c:crossAx val="4343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itchFamily="2" charset="77"/>
                <a:ea typeface="+mn-ea"/>
                <a:cs typeface="+mn-cs"/>
              </a:defRPr>
            </a:pPr>
            <a:r>
              <a:rPr lang="pt-BR" sz="2000" b="1" i="0">
                <a:latin typeface="Montserrat ExtraBold" pitchFamily="2" charset="77"/>
              </a:rPr>
              <a:t>WIN/LOSS EM CADA TIPO DE MERCADO</a:t>
            </a:r>
          </a:p>
        </c:rich>
      </c:tx>
      <c:layout>
        <c:manualLayout>
          <c:xMode val="edge"/>
          <c:yMode val="edge"/>
          <c:x val="0.20347335127858276"/>
          <c:y val="3.9921579847738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 ExtraBold" pitchFamily="2" charset="77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051240333034073"/>
          <c:y val="0.12807378426851085"/>
          <c:w val="0.84851129732656372"/>
          <c:h val="0.69570815712615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'REGISTROS DE OPERAÇÕES '!$AY$4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'REGISTROS DE OPERAÇÕES '!$AX$5:$AX$7</c:f>
              <c:strCache>
                <c:ptCount val="3"/>
                <c:pt idx="0">
                  <c:v>Mercado Forte</c:v>
                </c:pt>
                <c:pt idx="1">
                  <c:v>Mercado de Alta volatilidade</c:v>
                </c:pt>
                <c:pt idx="2">
                  <c:v>Mercado Confuso</c:v>
                </c:pt>
              </c:strCache>
            </c:strRef>
          </c:cat>
          <c:val>
            <c:numRef>
              <c:f>'REGISTROS DE OPERAÇÕES '!$AY$5:$AY$7</c:f>
              <c:numCache>
                <c:formatCode>General</c:formatCode>
                <c:ptCount val="3"/>
                <c:pt idx="0">
                  <c:v>37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B-804E-9100-23E69BD92722}"/>
            </c:ext>
          </c:extLst>
        </c:ser>
        <c:ser>
          <c:idx val="1"/>
          <c:order val="1"/>
          <c:tx>
            <c:strRef>
              <c:f>'REGISTROS DE OPERAÇÕES '!$AZ$4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'REGISTROS DE OPERAÇÕES '!$AX$5:$AX$7</c:f>
              <c:strCache>
                <c:ptCount val="3"/>
                <c:pt idx="0">
                  <c:v>Mercado Forte</c:v>
                </c:pt>
                <c:pt idx="1">
                  <c:v>Mercado de Alta volatilidade</c:v>
                </c:pt>
                <c:pt idx="2">
                  <c:v>Mercado Confuso</c:v>
                </c:pt>
              </c:strCache>
            </c:strRef>
          </c:cat>
          <c:val>
            <c:numRef>
              <c:f>'REGISTROS DE OPERAÇÕES '!$AZ$5:$AZ$7</c:f>
              <c:numCache>
                <c:formatCode>General</c:formatCode>
                <c:ptCount val="3"/>
                <c:pt idx="0">
                  <c:v>14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B-804E-9100-23E69BD927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0273312"/>
        <c:axId val="260279344"/>
      </c:barChart>
      <c:catAx>
        <c:axId val="2602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txPr>
        <c:crossAx val="260279344"/>
        <c:crosses val="autoZero"/>
        <c:auto val="1"/>
        <c:lblAlgn val="ctr"/>
        <c:lblOffset val="100"/>
        <c:noMultiLvlLbl val="0"/>
      </c:catAx>
      <c:valAx>
        <c:axId val="2602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73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0593068514099"/>
          <c:y val="0.93198512905650022"/>
          <c:w val="0.32430894597605942"/>
          <c:h val="5.1972088506051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77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latin typeface="Montserrat ExtraBold" pitchFamily="2" charset="77"/>
              </a:rPr>
              <a:t>ASSERTIVIDADE EM</a:t>
            </a:r>
            <a:r>
              <a:rPr lang="en-US" sz="1800" b="1" i="0" baseline="0">
                <a:latin typeface="Montserrat ExtraBold" pitchFamily="2" charset="77"/>
              </a:rPr>
              <a:t> CADA </a:t>
            </a:r>
          </a:p>
          <a:p>
            <a:pPr>
              <a:defRPr sz="1800"/>
            </a:pPr>
            <a:r>
              <a:rPr lang="en-US" sz="1800" b="1" i="0" baseline="0">
                <a:latin typeface="Montserrat ExtraBold" pitchFamily="2" charset="77"/>
              </a:rPr>
              <a:t>TIPO DE MERCADO</a:t>
            </a:r>
          </a:p>
        </c:rich>
      </c:tx>
      <c:layout>
        <c:manualLayout>
          <c:xMode val="edge"/>
          <c:yMode val="edge"/>
          <c:x val="0.27185561796705215"/>
          <c:y val="3.0691233013201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042365339104757"/>
          <c:y val="0.12664855326029312"/>
          <c:w val="0.83121484163424753"/>
          <c:h val="0.74409380727957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'REGISTROS DE OPERAÇÕES '!$BA$4</c:f>
              <c:strCache>
                <c:ptCount val="1"/>
                <c:pt idx="0">
                  <c:v>Assertividade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'REGISTROS DE OPERAÇÕES '!$AX$5:$AX$7</c:f>
              <c:strCache>
                <c:ptCount val="3"/>
                <c:pt idx="0">
                  <c:v>Mercado Forte</c:v>
                </c:pt>
                <c:pt idx="1">
                  <c:v>Mercado de Alta volatilidade</c:v>
                </c:pt>
                <c:pt idx="2">
                  <c:v>Mercado Confuso</c:v>
                </c:pt>
              </c:strCache>
            </c:strRef>
          </c:cat>
          <c:val>
            <c:numRef>
              <c:f>'REGISTROS DE OPERAÇÕES '!$BA$5:$BA$7</c:f>
              <c:numCache>
                <c:formatCode>0%</c:formatCode>
                <c:ptCount val="3"/>
                <c:pt idx="0">
                  <c:v>0.72549019607843135</c:v>
                </c:pt>
                <c:pt idx="1">
                  <c:v>0.35294117647058826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B-204D-B4C1-0BD2555BD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0154464"/>
        <c:axId val="320381744"/>
      </c:barChart>
      <c:catAx>
        <c:axId val="3201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txPr>
        <c:crossAx val="320381744"/>
        <c:crosses val="autoZero"/>
        <c:auto val="1"/>
        <c:lblAlgn val="ctr"/>
        <c:lblOffset val="100"/>
        <c:noMultiLvlLbl val="0"/>
      </c:catAx>
      <c:valAx>
        <c:axId val="32038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SemiBold" pitchFamily="2" charset="77"/>
                <a:ea typeface="+mn-ea"/>
                <a:cs typeface="+mn-cs"/>
              </a:defRPr>
            </a:pPr>
            <a:endParaRPr lang="pt-BR"/>
          </a:p>
        </c:txPr>
        <c:crossAx val="32015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 i="0">
                <a:latin typeface="Montserrat ExtraBold" pitchFamily="2" charset="77"/>
              </a:rPr>
              <a:t>ASSERTIVIDADE EM DIFERENTES TIPOS DE MERCADO </a:t>
            </a:r>
            <a:br>
              <a:rPr lang="pt-BR" sz="2400" b="1" i="0">
                <a:latin typeface="Montserrat ExtraBold" pitchFamily="2" charset="77"/>
              </a:rPr>
            </a:br>
            <a:r>
              <a:rPr lang="pt-BR" sz="2400" b="1" i="0">
                <a:latin typeface="Montserrat ExtraBold" pitchFamily="2" charset="77"/>
              </a:rPr>
              <a:t>+ ERROS NO SETUP</a:t>
            </a:r>
          </a:p>
        </c:rich>
      </c:tx>
      <c:layout>
        <c:manualLayout>
          <c:xMode val="edge"/>
          <c:yMode val="edge"/>
          <c:x val="0.17340301025762989"/>
          <c:y val="6.7059825683084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007531770150319"/>
          <c:y val="0.19231255704450514"/>
          <c:w val="0.85531628231235013"/>
          <c:h val="0.62380695062663827"/>
        </c:manualLayout>
      </c:layout>
      <c:lineChart>
        <c:grouping val="standard"/>
        <c:varyColors val="0"/>
        <c:ser>
          <c:idx val="0"/>
          <c:order val="0"/>
          <c:tx>
            <c:strRef>
              <c:f>'REGISTROS DE OPERAÇÕES '!$BC$4</c:f>
              <c:strCache>
                <c:ptCount val="1"/>
                <c:pt idx="0">
                  <c:v>Mercado Forte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28575" cap="rnd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'REGISTROS DE OPERAÇÕES '!$BB$5:$BB$9</c:f>
              <c:strCache>
                <c:ptCount val="5"/>
                <c:pt idx="0">
                  <c:v>Setup ideal</c:v>
                </c:pt>
                <c:pt idx="1">
                  <c:v>Um Erro</c:v>
                </c:pt>
                <c:pt idx="2">
                  <c:v>Dois Erros</c:v>
                </c:pt>
                <c:pt idx="3">
                  <c:v>Três Erros</c:v>
                </c:pt>
                <c:pt idx="4">
                  <c:v>Quatro ou Mais</c:v>
                </c:pt>
              </c:strCache>
            </c:strRef>
          </c:cat>
          <c:val>
            <c:numRef>
              <c:f>'REGISTROS DE OPERAÇÕES '!$BC$5:$BC$9</c:f>
              <c:numCache>
                <c:formatCode>0%</c:formatCode>
                <c:ptCount val="5"/>
                <c:pt idx="0">
                  <c:v>0.83783783783783783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0-7D45-98FC-E39D9B277533}"/>
            </c:ext>
          </c:extLst>
        </c:ser>
        <c:ser>
          <c:idx val="1"/>
          <c:order val="1"/>
          <c:tx>
            <c:strRef>
              <c:f>'REGISTROS DE OPERAÇÕES '!$BD$4</c:f>
              <c:strCache>
                <c:ptCount val="1"/>
                <c:pt idx="0">
                  <c:v>Mercado de Alta volatilidade</c:v>
                </c:pt>
              </c:strCache>
            </c:strRef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'REGISTROS DE OPERAÇÕES '!$BB$5:$BB$9</c:f>
              <c:strCache>
                <c:ptCount val="5"/>
                <c:pt idx="0">
                  <c:v>Setup ideal</c:v>
                </c:pt>
                <c:pt idx="1">
                  <c:v>Um Erro</c:v>
                </c:pt>
                <c:pt idx="2">
                  <c:v>Dois Erros</c:v>
                </c:pt>
                <c:pt idx="3">
                  <c:v>Três Erros</c:v>
                </c:pt>
                <c:pt idx="4">
                  <c:v>Quatro ou Mais</c:v>
                </c:pt>
              </c:strCache>
            </c:strRef>
          </c:cat>
          <c:val>
            <c:numRef>
              <c:f>'REGISTROS DE OPERAÇÕES '!$BD$5:$BD$9</c:f>
              <c:numCache>
                <c:formatCode>0%</c:formatCode>
                <c:ptCount val="5"/>
                <c:pt idx="0">
                  <c:v>0.625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0-7D45-98FC-E39D9B277533}"/>
            </c:ext>
          </c:extLst>
        </c:ser>
        <c:ser>
          <c:idx val="2"/>
          <c:order val="2"/>
          <c:tx>
            <c:strRef>
              <c:f>'REGISTROS DE OPERAÇÕES '!$BE$4</c:f>
              <c:strCache>
                <c:ptCount val="1"/>
                <c:pt idx="0">
                  <c:v>Mercado Confuso</c:v>
                </c:pt>
              </c:strCache>
            </c:strRef>
          </c:tx>
          <c:spPr>
            <a:ln w="476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'REGISTROS DE OPERAÇÕES '!$BB$5:$BB$9</c:f>
              <c:strCache>
                <c:ptCount val="5"/>
                <c:pt idx="0">
                  <c:v>Setup ideal</c:v>
                </c:pt>
                <c:pt idx="1">
                  <c:v>Um Erro</c:v>
                </c:pt>
                <c:pt idx="2">
                  <c:v>Dois Erros</c:v>
                </c:pt>
                <c:pt idx="3">
                  <c:v>Três Erros</c:v>
                </c:pt>
                <c:pt idx="4">
                  <c:v>Quatro ou Mais</c:v>
                </c:pt>
              </c:strCache>
            </c:strRef>
          </c:cat>
          <c:val>
            <c:numRef>
              <c:f>'REGISTROS DE OPERAÇÕES '!$BE$5:$BE$9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0-7D45-98FC-E39D9B2775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7992240"/>
        <c:axId val="658869744"/>
      </c:lineChart>
      <c:catAx>
        <c:axId val="6579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txPr>
        <c:crossAx val="658869744"/>
        <c:crosses val="autoZero"/>
        <c:auto val="1"/>
        <c:lblAlgn val="ctr"/>
        <c:lblOffset val="100"/>
        <c:noMultiLvlLbl val="0"/>
      </c:catAx>
      <c:valAx>
        <c:axId val="65886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txPr>
        <c:crossAx val="6579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02755639933081"/>
          <c:y val="0.90776645586389326"/>
          <c:w val="0.82870485930336679"/>
          <c:h val="7.4247908955739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 ExtraBold" pitchFamily="2" charset="77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r>
              <a:rPr lang="en-US" sz="1700" b="1" i="0" u="none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HISTÓRICO DA BANCA - NOVEMBRO</a:t>
            </a:r>
          </a:p>
        </c:rich>
      </c:tx>
      <c:layout>
        <c:manualLayout>
          <c:xMode val="edge"/>
          <c:yMode val="edge"/>
          <c:x val="0.31829513821719801"/>
          <c:y val="4.4962243806014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Montserrat ExtraBold" panose="000009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71082543181008"/>
          <c:y val="0.157284629001058"/>
          <c:w val="0.83205725619635074"/>
          <c:h val="0.68555991353793289"/>
        </c:manualLayout>
      </c:layout>
      <c:lineChart>
        <c:grouping val="standard"/>
        <c:varyColors val="0"/>
        <c:ser>
          <c:idx val="0"/>
          <c:order val="0"/>
          <c:tx>
            <c:strRef>
              <c:f>'NOVEMBRO, 24'!$G$1</c:f>
              <c:strCache>
                <c:ptCount val="1"/>
                <c:pt idx="0">
                  <c:v> BANCA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oval"/>
              <a:tailEnd type="oval" w="med" len="med"/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'NOVEMBRO, 24'!$A$2:$A$34</c:f>
              <c:numCache>
                <c:formatCode>d\-mmm</c:formatCode>
                <c:ptCount val="33"/>
                <c:pt idx="0">
                  <c:v>45594</c:v>
                </c:pt>
                <c:pt idx="1">
                  <c:v>45595</c:v>
                </c:pt>
                <c:pt idx="2">
                  <c:v>45596</c:v>
                </c:pt>
                <c:pt idx="3">
                  <c:v>45597</c:v>
                </c:pt>
                <c:pt idx="4">
                  <c:v>45598</c:v>
                </c:pt>
                <c:pt idx="5">
                  <c:v>45599</c:v>
                </c:pt>
                <c:pt idx="6">
                  <c:v>45600</c:v>
                </c:pt>
                <c:pt idx="7">
                  <c:v>45601</c:v>
                </c:pt>
                <c:pt idx="8">
                  <c:v>45602</c:v>
                </c:pt>
                <c:pt idx="9">
                  <c:v>45603</c:v>
                </c:pt>
                <c:pt idx="10">
                  <c:v>45604</c:v>
                </c:pt>
                <c:pt idx="11">
                  <c:v>45605</c:v>
                </c:pt>
                <c:pt idx="12">
                  <c:v>45606</c:v>
                </c:pt>
                <c:pt idx="13">
                  <c:v>45607</c:v>
                </c:pt>
                <c:pt idx="14">
                  <c:v>45608</c:v>
                </c:pt>
                <c:pt idx="15">
                  <c:v>45609</c:v>
                </c:pt>
                <c:pt idx="16">
                  <c:v>45610</c:v>
                </c:pt>
                <c:pt idx="17">
                  <c:v>45611</c:v>
                </c:pt>
                <c:pt idx="18">
                  <c:v>45612</c:v>
                </c:pt>
                <c:pt idx="19">
                  <c:v>45613</c:v>
                </c:pt>
                <c:pt idx="20">
                  <c:v>45614</c:v>
                </c:pt>
                <c:pt idx="21">
                  <c:v>45615</c:v>
                </c:pt>
                <c:pt idx="22">
                  <c:v>45616</c:v>
                </c:pt>
                <c:pt idx="23">
                  <c:v>45617</c:v>
                </c:pt>
                <c:pt idx="24">
                  <c:v>45618</c:v>
                </c:pt>
                <c:pt idx="25">
                  <c:v>45619</c:v>
                </c:pt>
                <c:pt idx="26">
                  <c:v>45620</c:v>
                </c:pt>
                <c:pt idx="27">
                  <c:v>45621</c:v>
                </c:pt>
                <c:pt idx="28">
                  <c:v>45622</c:v>
                </c:pt>
                <c:pt idx="29">
                  <c:v>45623</c:v>
                </c:pt>
                <c:pt idx="30">
                  <c:v>45624</c:v>
                </c:pt>
                <c:pt idx="31">
                  <c:v>45625</c:v>
                </c:pt>
                <c:pt idx="32">
                  <c:v>45626</c:v>
                </c:pt>
              </c:numCache>
            </c:numRef>
          </c:cat>
          <c:val>
            <c:numRef>
              <c:f>'NOVEMBRO, 24'!$G$2:$G$34</c:f>
              <c:numCache>
                <c:formatCode>_-"R$"\ * #,##0.00_-;\-"R$"\ * #,##0.00_-;_-"R$"\ * "-"??_-;_-@</c:formatCode>
                <c:ptCount val="33"/>
                <c:pt idx="0">
                  <c:v>5751</c:v>
                </c:pt>
                <c:pt idx="1">
                  <c:v>5805.67</c:v>
                </c:pt>
                <c:pt idx="2">
                  <c:v>5878.98</c:v>
                </c:pt>
                <c:pt idx="3">
                  <c:v>7265.12</c:v>
                </c:pt>
                <c:pt idx="4">
                  <c:v>8914.93</c:v>
                </c:pt>
                <c:pt idx="5">
                  <c:v>10011.59</c:v>
                </c:pt>
                <c:pt idx="6">
                  <c:v>10835.04</c:v>
                </c:pt>
                <c:pt idx="7">
                  <c:v>8010.48</c:v>
                </c:pt>
                <c:pt idx="8">
                  <c:v>8010.48</c:v>
                </c:pt>
                <c:pt idx="9">
                  <c:v>7908.81</c:v>
                </c:pt>
                <c:pt idx="10">
                  <c:v>8334.56</c:v>
                </c:pt>
                <c:pt idx="11">
                  <c:v>8360.58</c:v>
                </c:pt>
                <c:pt idx="12">
                  <c:v>8883.99</c:v>
                </c:pt>
                <c:pt idx="13">
                  <c:v>9350.77</c:v>
                </c:pt>
                <c:pt idx="14">
                  <c:v>9920.5</c:v>
                </c:pt>
                <c:pt idx="15">
                  <c:v>10496.48</c:v>
                </c:pt>
                <c:pt idx="16">
                  <c:v>10945.79</c:v>
                </c:pt>
                <c:pt idx="17">
                  <c:v>11184.51</c:v>
                </c:pt>
                <c:pt idx="18">
                  <c:v>11805.24</c:v>
                </c:pt>
                <c:pt idx="19">
                  <c:v>11805.24</c:v>
                </c:pt>
                <c:pt idx="20">
                  <c:v>11689.15</c:v>
                </c:pt>
                <c:pt idx="21">
                  <c:v>12316.82</c:v>
                </c:pt>
                <c:pt idx="22">
                  <c:v>13006.26</c:v>
                </c:pt>
                <c:pt idx="23">
                  <c:v>13776.84</c:v>
                </c:pt>
                <c:pt idx="24">
                  <c:v>13776.84</c:v>
                </c:pt>
                <c:pt idx="25">
                  <c:v>13776.84</c:v>
                </c:pt>
                <c:pt idx="26">
                  <c:v>13776.84</c:v>
                </c:pt>
                <c:pt idx="27">
                  <c:v>14384.46</c:v>
                </c:pt>
                <c:pt idx="28">
                  <c:v>15178.47</c:v>
                </c:pt>
                <c:pt idx="29">
                  <c:v>16639.16</c:v>
                </c:pt>
                <c:pt idx="30">
                  <c:v>17554.400000000001</c:v>
                </c:pt>
                <c:pt idx="31">
                  <c:v>18536.07</c:v>
                </c:pt>
                <c:pt idx="32">
                  <c:v>18536.07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F2-4354-8614-61EFF7CE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1887"/>
        <c:axId val="68872847"/>
      </c:lineChart>
      <c:dateAx>
        <c:axId val="68871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68872847"/>
        <c:crosses val="autoZero"/>
        <c:auto val="1"/>
        <c:lblOffset val="100"/>
        <c:baseTimeUnit val="days"/>
      </c:dateAx>
      <c:valAx>
        <c:axId val="68872847"/>
        <c:scaling>
          <c:orientation val="minMax"/>
          <c:max val="19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68871887"/>
        <c:crosses val="autoZero"/>
        <c:crossBetween val="between"/>
      </c:valAx>
      <c:spPr>
        <a:noFill/>
        <a:ln>
          <a:noFill/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Black" panose="00000A00000000000000" pitchFamily="2" charset="0"/>
              </a:rPr>
              <a:t>LUCRO/PREJUÍZO POR DIA - MAIO</a:t>
            </a:r>
          </a:p>
        </c:rich>
      </c:tx>
      <c:layout>
        <c:manualLayout>
          <c:xMode val="edge"/>
          <c:yMode val="edge"/>
          <c:x val="0.32663006514867754"/>
          <c:y val="5.4098357164169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8.6524840147599841E-2"/>
          <c:y val="0.18225514765172618"/>
          <c:w val="0.8879856895953222"/>
          <c:h val="0.756269391572657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'MAIO, 25'!$A$6:$A$32</c:f>
              <c:numCache>
                <c:formatCode>d\-mmm</c:formatCode>
                <c:ptCount val="27"/>
                <c:pt idx="0">
                  <c:v>45782</c:v>
                </c:pt>
                <c:pt idx="1">
                  <c:v>45783</c:v>
                </c:pt>
                <c:pt idx="2">
                  <c:v>45784</c:v>
                </c:pt>
                <c:pt idx="3">
                  <c:v>45785</c:v>
                </c:pt>
                <c:pt idx="4">
                  <c:v>45786</c:v>
                </c:pt>
                <c:pt idx="5">
                  <c:v>45787</c:v>
                </c:pt>
                <c:pt idx="6">
                  <c:v>45788</c:v>
                </c:pt>
                <c:pt idx="7">
                  <c:v>45789</c:v>
                </c:pt>
                <c:pt idx="8">
                  <c:v>45790</c:v>
                </c:pt>
                <c:pt idx="9">
                  <c:v>45791</c:v>
                </c:pt>
                <c:pt idx="10">
                  <c:v>45792</c:v>
                </c:pt>
                <c:pt idx="11">
                  <c:v>45793</c:v>
                </c:pt>
                <c:pt idx="12">
                  <c:v>45794</c:v>
                </c:pt>
                <c:pt idx="13">
                  <c:v>45795</c:v>
                </c:pt>
                <c:pt idx="14">
                  <c:v>45796</c:v>
                </c:pt>
                <c:pt idx="15">
                  <c:v>45797</c:v>
                </c:pt>
                <c:pt idx="16">
                  <c:v>45798</c:v>
                </c:pt>
                <c:pt idx="17">
                  <c:v>45799</c:v>
                </c:pt>
                <c:pt idx="18">
                  <c:v>45800</c:v>
                </c:pt>
                <c:pt idx="19">
                  <c:v>45801</c:v>
                </c:pt>
                <c:pt idx="20">
                  <c:v>45802</c:v>
                </c:pt>
                <c:pt idx="21">
                  <c:v>45803</c:v>
                </c:pt>
                <c:pt idx="22">
                  <c:v>45804</c:v>
                </c:pt>
                <c:pt idx="23">
                  <c:v>45805</c:v>
                </c:pt>
                <c:pt idx="24">
                  <c:v>45806</c:v>
                </c:pt>
                <c:pt idx="25">
                  <c:v>45807</c:v>
                </c:pt>
                <c:pt idx="26">
                  <c:v>45808</c:v>
                </c:pt>
              </c:numCache>
            </c:numRef>
          </c:cat>
          <c:val>
            <c:numRef>
              <c:f>'MAIO, 25'!$J$6:$J$32</c:f>
              <c:numCache>
                <c:formatCode>_-[$$-409]* #,##0.00_ ;_-[$$-409]* \-#,##0.00\ ;_-[$$-409]* "-"??_ ;_-@_ </c:formatCode>
                <c:ptCount val="27"/>
                <c:pt idx="0">
                  <c:v>7.2799999999999727</c:v>
                </c:pt>
                <c:pt idx="1">
                  <c:v>17.28000000000003</c:v>
                </c:pt>
                <c:pt idx="2">
                  <c:v>0</c:v>
                </c:pt>
                <c:pt idx="3">
                  <c:v>-43.600000000000023</c:v>
                </c:pt>
                <c:pt idx="4">
                  <c:v>17.28000000000003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10.479999999999961</c:v>
                </c:pt>
                <c:pt idx="9">
                  <c:v>13.560000000000002</c:v>
                </c:pt>
                <c:pt idx="10">
                  <c:v>12.04000000000002</c:v>
                </c:pt>
                <c:pt idx="11">
                  <c:v>-7.4800000000000182</c:v>
                </c:pt>
                <c:pt idx="12">
                  <c:v>11.699999999999989</c:v>
                </c:pt>
                <c:pt idx="13">
                  <c:v>-1.5600000000000023</c:v>
                </c:pt>
                <c:pt idx="14">
                  <c:v>10.800000000000011</c:v>
                </c:pt>
                <c:pt idx="15">
                  <c:v>11.199999999999989</c:v>
                </c:pt>
                <c:pt idx="16">
                  <c:v>-49</c:v>
                </c:pt>
                <c:pt idx="17">
                  <c:v>-19</c:v>
                </c:pt>
                <c:pt idx="18">
                  <c:v>11.699999999999989</c:v>
                </c:pt>
                <c:pt idx="19">
                  <c:v>0</c:v>
                </c:pt>
                <c:pt idx="20">
                  <c:v>0</c:v>
                </c:pt>
                <c:pt idx="21">
                  <c:v>11.939999999999998</c:v>
                </c:pt>
                <c:pt idx="22">
                  <c:v>-3.2000000000000455</c:v>
                </c:pt>
                <c:pt idx="23">
                  <c:v>3.4000000000000909</c:v>
                </c:pt>
                <c:pt idx="24">
                  <c:v>0</c:v>
                </c:pt>
                <c:pt idx="25">
                  <c:v>-15.000000000000057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8-BA4B-854A-6BAFBFE9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294687"/>
        <c:axId val="1481296399"/>
      </c:barChart>
      <c:dateAx>
        <c:axId val="14812946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Montserrat" pitchFamily="2" charset="77"/>
                <a:ea typeface="+mn-ea"/>
                <a:cs typeface="+mn-cs"/>
              </a:defRPr>
            </a:pPr>
            <a:endParaRPr lang="en-BR"/>
          </a:p>
        </c:txPr>
        <c:crossAx val="1481296399"/>
        <c:crosses val="autoZero"/>
        <c:auto val="1"/>
        <c:lblOffset val="100"/>
        <c:baseTimeUnit val="days"/>
      </c:dateAx>
      <c:valAx>
        <c:axId val="1481296399"/>
        <c:scaling>
          <c:orientation val="minMax"/>
          <c:max val="25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Mangal" panose="02040503050203030202" pitchFamily="18" charset="0"/>
              </a:defRPr>
            </a:pPr>
            <a:endParaRPr lang="en-BR"/>
          </a:p>
        </c:txPr>
        <c:crossAx val="1481294687"/>
        <c:crosses val="autoZero"/>
        <c:crossBetween val="between"/>
        <c:majorUnit val="10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HISTÓRICO</a:t>
            </a:r>
            <a:r>
              <a:rPr lang="en-US" sz="17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 DA  BANCA - DEZEMBRO</a:t>
            </a:r>
            <a:endParaRPr lang="en-US" sz="1700">
              <a:solidFill>
                <a:schemeClr val="accent6">
                  <a:lumMod val="50000"/>
                </a:schemeClr>
              </a:solidFill>
              <a:latin typeface="Montserrat ExtraBold" panose="00000900000000000000" pitchFamily="2" charset="0"/>
            </a:endParaRPr>
          </a:p>
        </c:rich>
      </c:tx>
      <c:layout>
        <c:manualLayout>
          <c:xMode val="edge"/>
          <c:yMode val="edge"/>
          <c:x val="0.32854420703955056"/>
          <c:y val="4.9259273624751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36612877150856"/>
          <c:y val="0.15060374762430667"/>
          <c:w val="0.83843774622915901"/>
          <c:h val="0.66728555476394136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50000"/>
                </a:schemeClr>
              </a:solidFill>
              <a:round/>
              <a:headEnd type="oval" w="med" len="med"/>
              <a:tailEnd type="oval"/>
            </a:ln>
            <a:effectLst/>
          </c:spPr>
          <c:marker>
            <c:symbol val="none"/>
          </c:marker>
          <c:cat>
            <c:numRef>
              <c:f>'DEZEMBRO, 24'!$A$2:$A$25</c:f>
              <c:numCache>
                <c:formatCode>d\-mmm</c:formatCode>
                <c:ptCount val="24"/>
                <c:pt idx="0">
                  <c:v>45634</c:v>
                </c:pt>
                <c:pt idx="1">
                  <c:v>45635</c:v>
                </c:pt>
                <c:pt idx="2">
                  <c:v>45636</c:v>
                </c:pt>
                <c:pt idx="3">
                  <c:v>45637</c:v>
                </c:pt>
                <c:pt idx="4">
                  <c:v>45638</c:v>
                </c:pt>
                <c:pt idx="5">
                  <c:v>45639</c:v>
                </c:pt>
                <c:pt idx="6">
                  <c:v>45640</c:v>
                </c:pt>
                <c:pt idx="7">
                  <c:v>45641</c:v>
                </c:pt>
                <c:pt idx="8">
                  <c:v>45642</c:v>
                </c:pt>
                <c:pt idx="9">
                  <c:v>45643</c:v>
                </c:pt>
                <c:pt idx="10">
                  <c:v>45644</c:v>
                </c:pt>
                <c:pt idx="11">
                  <c:v>45645</c:v>
                </c:pt>
                <c:pt idx="12">
                  <c:v>45646</c:v>
                </c:pt>
                <c:pt idx="13">
                  <c:v>45647</c:v>
                </c:pt>
                <c:pt idx="14">
                  <c:v>45648</c:v>
                </c:pt>
                <c:pt idx="15">
                  <c:v>45649</c:v>
                </c:pt>
                <c:pt idx="16">
                  <c:v>45650</c:v>
                </c:pt>
                <c:pt idx="17">
                  <c:v>45651</c:v>
                </c:pt>
                <c:pt idx="18">
                  <c:v>45652</c:v>
                </c:pt>
                <c:pt idx="19">
                  <c:v>45653</c:v>
                </c:pt>
                <c:pt idx="20">
                  <c:v>45654</c:v>
                </c:pt>
                <c:pt idx="21">
                  <c:v>45655</c:v>
                </c:pt>
                <c:pt idx="22">
                  <c:v>45656</c:v>
                </c:pt>
                <c:pt idx="23">
                  <c:v>45657</c:v>
                </c:pt>
              </c:numCache>
            </c:numRef>
          </c:cat>
          <c:val>
            <c:numRef>
              <c:f>'DEZEMBRO, 24'!$G$2:$G$25</c:f>
              <c:numCache>
                <c:formatCode>_-"R$"\ * #,##0.00_-;\-"R$"\ * #,##0.00_-;_-"R$"\ * "-"??_-;_-@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9944.35</c:v>
                </c:pt>
                <c:pt idx="5">
                  <c:v>9944.35</c:v>
                </c:pt>
                <c:pt idx="6">
                  <c:v>9944.35</c:v>
                </c:pt>
                <c:pt idx="7">
                  <c:v>9944.35</c:v>
                </c:pt>
                <c:pt idx="8">
                  <c:v>10109.77</c:v>
                </c:pt>
                <c:pt idx="9">
                  <c:v>9792.5300000000007</c:v>
                </c:pt>
                <c:pt idx="10">
                  <c:v>9137.99</c:v>
                </c:pt>
                <c:pt idx="11">
                  <c:v>9412.82</c:v>
                </c:pt>
                <c:pt idx="12">
                  <c:v>9705.48</c:v>
                </c:pt>
                <c:pt idx="13">
                  <c:v>9726.9</c:v>
                </c:pt>
                <c:pt idx="14">
                  <c:v>10020.299999999999</c:v>
                </c:pt>
                <c:pt idx="15">
                  <c:v>10317.73</c:v>
                </c:pt>
                <c:pt idx="16">
                  <c:v>9835.33</c:v>
                </c:pt>
                <c:pt idx="17">
                  <c:v>9357.2800000000007</c:v>
                </c:pt>
                <c:pt idx="18">
                  <c:v>9072.7199999999993</c:v>
                </c:pt>
                <c:pt idx="19">
                  <c:v>9072.98</c:v>
                </c:pt>
                <c:pt idx="20">
                  <c:v>9075</c:v>
                </c:pt>
                <c:pt idx="21">
                  <c:v>9075</c:v>
                </c:pt>
                <c:pt idx="22">
                  <c:v>9079.9599999999991</c:v>
                </c:pt>
                <c:pt idx="23">
                  <c:v>9091.23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90-4B4D-A6D4-3C9E6FD0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648159"/>
        <c:axId val="1811651999"/>
      </c:lineChart>
      <c:dateAx>
        <c:axId val="1811648159"/>
        <c:scaling>
          <c:orientation val="minMax"/>
          <c:min val="45642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1811651999"/>
        <c:crosses val="autoZero"/>
        <c:auto val="1"/>
        <c:lblOffset val="100"/>
        <c:baseTimeUnit val="days"/>
      </c:dateAx>
      <c:valAx>
        <c:axId val="1811651999"/>
        <c:scaling>
          <c:orientation val="minMax"/>
          <c:max val="15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90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181164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HISTÓRICO DA BANCA - JANEIRO</a:t>
            </a:r>
          </a:p>
        </c:rich>
      </c:tx>
      <c:layout>
        <c:manualLayout>
          <c:xMode val="edge"/>
          <c:yMode val="edge"/>
          <c:x val="0.31328647755388317"/>
          <c:y val="4.5031746142501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92691884444794"/>
          <c:y val="0.15490666666666666"/>
          <c:w val="0.83298348258606725"/>
          <c:h val="0.6875197900262468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oval"/>
              <a:tailEnd type="oval"/>
            </a:ln>
            <a:effectLst>
              <a:glow rad="12700">
                <a:schemeClr val="accent6">
                  <a:satMod val="175000"/>
                  <a:alpha val="50000"/>
                </a:schemeClr>
              </a:glow>
            </a:effectLst>
          </c:spPr>
          <c:marker>
            <c:symbol val="none"/>
          </c:marker>
          <c:cat>
            <c:numRef>
              <c:f>'JANEIRO, 25'!$A$2:$A$32</c:f>
              <c:numCache>
                <c:formatCode>d\-mmm</c:formatCode>
                <c:ptCount val="31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</c:numCache>
            </c:numRef>
          </c:cat>
          <c:val>
            <c:numRef>
              <c:f>'JANEIRO, 25'!$F$2:$F$32</c:f>
              <c:numCache>
                <c:formatCode>_-"R$"\ * #,##0.00_-;\-"R$"\ * #,##0.00_-;_-"R$"\ * "-"??_-;_-@</c:formatCode>
                <c:ptCount val="31"/>
                <c:pt idx="0">
                  <c:v>8527.9599999999991</c:v>
                </c:pt>
                <c:pt idx="1">
                  <c:v>8654.7099999999991</c:v>
                </c:pt>
                <c:pt idx="2">
                  <c:v>8898.89</c:v>
                </c:pt>
                <c:pt idx="3">
                  <c:v>9136.17</c:v>
                </c:pt>
                <c:pt idx="4">
                  <c:v>9217.8799999999992</c:v>
                </c:pt>
                <c:pt idx="5">
                  <c:v>9499.1</c:v>
                </c:pt>
                <c:pt idx="6">
                  <c:v>9802.77</c:v>
                </c:pt>
                <c:pt idx="7">
                  <c:v>9917.24</c:v>
                </c:pt>
                <c:pt idx="8">
                  <c:v>8520.9699999999993</c:v>
                </c:pt>
                <c:pt idx="9">
                  <c:v>8084.95</c:v>
                </c:pt>
                <c:pt idx="10">
                  <c:v>8333.51</c:v>
                </c:pt>
                <c:pt idx="11">
                  <c:v>8320.2900000000009</c:v>
                </c:pt>
                <c:pt idx="12">
                  <c:v>8561.4599999999991</c:v>
                </c:pt>
                <c:pt idx="13">
                  <c:v>8704.73</c:v>
                </c:pt>
                <c:pt idx="14">
                  <c:v>8903.76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2E-4417-A94C-8ABA7312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357663"/>
        <c:axId val="1223361503"/>
      </c:lineChart>
      <c:dateAx>
        <c:axId val="1223357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361503"/>
        <c:crosses val="autoZero"/>
        <c:auto val="1"/>
        <c:lblOffset val="100"/>
        <c:baseTimeUnit val="days"/>
      </c:dateAx>
      <c:valAx>
        <c:axId val="1223361503"/>
        <c:scaling>
          <c:orientation val="minMax"/>
          <c:max val="15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35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HISTÓRICO DA BANCA - FEVEREIRO</a:t>
            </a:r>
          </a:p>
        </c:rich>
      </c:tx>
      <c:layout>
        <c:manualLayout>
          <c:xMode val="edge"/>
          <c:yMode val="edge"/>
          <c:x val="0.34445766705383907"/>
          <c:y val="3.3260238704160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9464738666344"/>
          <c:y val="0.14862209740958945"/>
          <c:w val="0.85383410498049628"/>
          <c:h val="0.695008043095277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oval"/>
              <a:tailEnd type="oval"/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'FEVEREIRO, 25'!$A$2:$A$23</c:f>
              <c:numCache>
                <c:formatCode>d\-mmm</c:formatCode>
                <c:ptCount val="22"/>
                <c:pt idx="0">
                  <c:v>45695</c:v>
                </c:pt>
                <c:pt idx="1">
                  <c:v>45696</c:v>
                </c:pt>
                <c:pt idx="2">
                  <c:v>45697</c:v>
                </c:pt>
                <c:pt idx="3">
                  <c:v>45698</c:v>
                </c:pt>
                <c:pt idx="4">
                  <c:v>45699</c:v>
                </c:pt>
                <c:pt idx="5">
                  <c:v>45700</c:v>
                </c:pt>
                <c:pt idx="6">
                  <c:v>45701</c:v>
                </c:pt>
                <c:pt idx="7">
                  <c:v>45702</c:v>
                </c:pt>
                <c:pt idx="8">
                  <c:v>45703</c:v>
                </c:pt>
                <c:pt idx="9">
                  <c:v>45704</c:v>
                </c:pt>
                <c:pt idx="10">
                  <c:v>45705</c:v>
                </c:pt>
                <c:pt idx="11">
                  <c:v>45706</c:v>
                </c:pt>
                <c:pt idx="12">
                  <c:v>45707</c:v>
                </c:pt>
                <c:pt idx="13">
                  <c:v>45708</c:v>
                </c:pt>
                <c:pt idx="14">
                  <c:v>45709</c:v>
                </c:pt>
                <c:pt idx="15">
                  <c:v>45710</c:v>
                </c:pt>
                <c:pt idx="16">
                  <c:v>45711</c:v>
                </c:pt>
                <c:pt idx="17">
                  <c:v>45712</c:v>
                </c:pt>
                <c:pt idx="18">
                  <c:v>45713</c:v>
                </c:pt>
                <c:pt idx="19">
                  <c:v>45714</c:v>
                </c:pt>
                <c:pt idx="20">
                  <c:v>45715</c:v>
                </c:pt>
                <c:pt idx="21">
                  <c:v>45716</c:v>
                </c:pt>
              </c:numCache>
            </c:numRef>
          </c:cat>
          <c:val>
            <c:numRef>
              <c:f>'FEVEREIRO, 25'!$F$2:$F$23</c:f>
              <c:numCache>
                <c:formatCode>_-"R$"\ * #,##0.00_-;\-"R$"\ * #,##0.00_-;_-"R$"\ * "-"??_-;_-@</c:formatCode>
                <c:ptCount val="22"/>
                <c:pt idx="0">
                  <c:v>3964.43</c:v>
                </c:pt>
                <c:pt idx="1">
                  <c:v>4139.87</c:v>
                </c:pt>
                <c:pt idx="2">
                  <c:v>3761.87</c:v>
                </c:pt>
                <c:pt idx="3">
                  <c:v>3821.71</c:v>
                </c:pt>
                <c:pt idx="4">
                  <c:v>3935.42</c:v>
                </c:pt>
                <c:pt idx="5">
                  <c:v>3756.42</c:v>
                </c:pt>
                <c:pt idx="6">
                  <c:v>3856.89</c:v>
                </c:pt>
                <c:pt idx="7">
                  <c:v>3910.14</c:v>
                </c:pt>
                <c:pt idx="8">
                  <c:v>3910.14</c:v>
                </c:pt>
                <c:pt idx="9">
                  <c:v>3910.14</c:v>
                </c:pt>
                <c:pt idx="10">
                  <c:v>3963.24</c:v>
                </c:pt>
                <c:pt idx="11">
                  <c:v>4016.31</c:v>
                </c:pt>
                <c:pt idx="12">
                  <c:v>4179.41</c:v>
                </c:pt>
                <c:pt idx="13">
                  <c:v>4179.41</c:v>
                </c:pt>
                <c:pt idx="14">
                  <c:v>4348.1899999999996</c:v>
                </c:pt>
                <c:pt idx="15">
                  <c:v>3942.77</c:v>
                </c:pt>
                <c:pt idx="16">
                  <c:v>4100.2299999999996</c:v>
                </c:pt>
                <c:pt idx="17">
                  <c:v>4210.3599999999997</c:v>
                </c:pt>
                <c:pt idx="18">
                  <c:v>3704.36</c:v>
                </c:pt>
                <c:pt idx="19">
                  <c:v>3853.55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31-47B2-A6D1-7DEDD2F6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59007"/>
        <c:axId val="29556127"/>
      </c:lineChart>
      <c:dateAx>
        <c:axId val="295590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29556127"/>
        <c:crosses val="autoZero"/>
        <c:auto val="1"/>
        <c:lblOffset val="100"/>
        <c:baseTimeUnit val="days"/>
      </c:dateAx>
      <c:valAx>
        <c:axId val="29556127"/>
        <c:scaling>
          <c:orientation val="minMax"/>
          <c:max val="5000"/>
          <c:min val="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2955900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HISTÓRICO DA BANCA - MARCO</a:t>
            </a:r>
          </a:p>
        </c:rich>
      </c:tx>
      <c:layout>
        <c:manualLayout>
          <c:xMode val="edge"/>
          <c:yMode val="edge"/>
          <c:x val="0.29087537560151416"/>
          <c:y val="6.1860553566713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4248477557991"/>
          <c:y val="0.17171296296296296"/>
          <c:w val="0.82525745714919563"/>
          <c:h val="0.689177914239921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cat>
            <c:numRef>
              <c:f>'MARCO, 25'!$A$2:$A$23</c:f>
              <c:numCache>
                <c:formatCode>d\-mmm</c:formatCode>
                <c:ptCount val="22"/>
                <c:pt idx="0">
                  <c:v>45725</c:v>
                </c:pt>
                <c:pt idx="1">
                  <c:v>45726</c:v>
                </c:pt>
                <c:pt idx="2">
                  <c:v>45727</c:v>
                </c:pt>
                <c:pt idx="3">
                  <c:v>45728</c:v>
                </c:pt>
                <c:pt idx="4">
                  <c:v>45729</c:v>
                </c:pt>
                <c:pt idx="5">
                  <c:v>45730</c:v>
                </c:pt>
                <c:pt idx="6">
                  <c:v>45731</c:v>
                </c:pt>
                <c:pt idx="7">
                  <c:v>45732</c:v>
                </c:pt>
                <c:pt idx="8">
                  <c:v>45733</c:v>
                </c:pt>
                <c:pt idx="9">
                  <c:v>45734</c:v>
                </c:pt>
                <c:pt idx="10">
                  <c:v>45735</c:v>
                </c:pt>
                <c:pt idx="11">
                  <c:v>45736</c:v>
                </c:pt>
                <c:pt idx="12">
                  <c:v>45737</c:v>
                </c:pt>
                <c:pt idx="13">
                  <c:v>45738</c:v>
                </c:pt>
                <c:pt idx="14">
                  <c:v>45739</c:v>
                </c:pt>
                <c:pt idx="15">
                  <c:v>45740</c:v>
                </c:pt>
                <c:pt idx="16">
                  <c:v>45741</c:v>
                </c:pt>
                <c:pt idx="17">
                  <c:v>45742</c:v>
                </c:pt>
                <c:pt idx="18">
                  <c:v>45743</c:v>
                </c:pt>
                <c:pt idx="19">
                  <c:v>45744</c:v>
                </c:pt>
                <c:pt idx="20">
                  <c:v>45745</c:v>
                </c:pt>
                <c:pt idx="21">
                  <c:v>45746</c:v>
                </c:pt>
              </c:numCache>
            </c:numRef>
          </c:cat>
          <c:val>
            <c:numRef>
              <c:f>'MARCO, 25'!$D$2:$D$23</c:f>
              <c:numCache>
                <c:formatCode>_-"R$"\ * #,##0.00_-;\-"R$"\ * #,##0.00_-;_-"R$"\ * "-"??_-;_-@</c:formatCode>
                <c:ptCount val="22"/>
                <c:pt idx="0">
                  <c:v>3853.55</c:v>
                </c:pt>
                <c:pt idx="1">
                  <c:v>3956.21</c:v>
                </c:pt>
                <c:pt idx="2">
                  <c:v>3956.21</c:v>
                </c:pt>
                <c:pt idx="3">
                  <c:v>3956.21</c:v>
                </c:pt>
                <c:pt idx="4">
                  <c:v>3956.21</c:v>
                </c:pt>
                <c:pt idx="5">
                  <c:v>3817.28</c:v>
                </c:pt>
                <c:pt idx="6">
                  <c:v>3935.84</c:v>
                </c:pt>
                <c:pt idx="7">
                  <c:v>3935.84</c:v>
                </c:pt>
                <c:pt idx="8">
                  <c:v>4083.9</c:v>
                </c:pt>
                <c:pt idx="9">
                  <c:v>4232.67</c:v>
                </c:pt>
                <c:pt idx="10">
                  <c:v>4370.32</c:v>
                </c:pt>
                <c:pt idx="11">
                  <c:v>4370.32</c:v>
                </c:pt>
                <c:pt idx="12">
                  <c:v>4157.32</c:v>
                </c:pt>
                <c:pt idx="13">
                  <c:v>4268.91</c:v>
                </c:pt>
                <c:pt idx="14">
                  <c:v>4319.82</c:v>
                </c:pt>
                <c:pt idx="15">
                  <c:v>4319.82</c:v>
                </c:pt>
                <c:pt idx="16">
                  <c:v>4466.71</c:v>
                </c:pt>
                <c:pt idx="17">
                  <c:v>4466.71</c:v>
                </c:pt>
                <c:pt idx="18">
                  <c:v>4526.7700000000004</c:v>
                </c:pt>
                <c:pt idx="19">
                  <c:v>4685.9799999999996</c:v>
                </c:pt>
                <c:pt idx="20">
                  <c:v>4604.62</c:v>
                </c:pt>
                <c:pt idx="21">
                  <c:v>4391.62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06-447A-B970-4A7528AB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50047"/>
        <c:axId val="1559438287"/>
      </c:lineChart>
      <c:dateAx>
        <c:axId val="15650500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38287"/>
        <c:crosses val="autoZero"/>
        <c:auto val="1"/>
        <c:lblOffset val="100"/>
        <c:baseTimeUnit val="days"/>
      </c:dateAx>
      <c:valAx>
        <c:axId val="1559438287"/>
        <c:scaling>
          <c:orientation val="minMax"/>
          <c:max val="48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5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HISTÓRICO DA BANCA - ABRIL</a:t>
            </a:r>
          </a:p>
        </c:rich>
      </c:tx>
      <c:layout>
        <c:manualLayout>
          <c:xMode val="edge"/>
          <c:yMode val="edge"/>
          <c:x val="0.29623231399203148"/>
          <c:y val="6.4262374204748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138721039783"/>
          <c:y val="0.21525423728813559"/>
          <c:w val="0.86495794090368094"/>
          <c:h val="0.63051917848475469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>
                  <a:lumMod val="50000"/>
                </a:schemeClr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cat>
            <c:numRef>
              <c:f>'ABRIL, 25'!$A$2:$A$32</c:f>
              <c:numCache>
                <c:formatCode>d\-mmm</c:formatCode>
                <c:ptCount val="31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  <c:pt idx="5">
                  <c:v>45752</c:v>
                </c:pt>
                <c:pt idx="6">
                  <c:v>45753</c:v>
                </c:pt>
                <c:pt idx="7">
                  <c:v>45754</c:v>
                </c:pt>
                <c:pt idx="8">
                  <c:v>45755</c:v>
                </c:pt>
                <c:pt idx="9">
                  <c:v>45756</c:v>
                </c:pt>
                <c:pt idx="10">
                  <c:v>45757</c:v>
                </c:pt>
                <c:pt idx="11">
                  <c:v>45758</c:v>
                </c:pt>
                <c:pt idx="12">
                  <c:v>45759</c:v>
                </c:pt>
                <c:pt idx="13">
                  <c:v>45760</c:v>
                </c:pt>
                <c:pt idx="14">
                  <c:v>45761</c:v>
                </c:pt>
                <c:pt idx="15">
                  <c:v>45762</c:v>
                </c:pt>
                <c:pt idx="16">
                  <c:v>45763</c:v>
                </c:pt>
                <c:pt idx="17">
                  <c:v>45764</c:v>
                </c:pt>
                <c:pt idx="18">
                  <c:v>45765</c:v>
                </c:pt>
                <c:pt idx="19">
                  <c:v>45766</c:v>
                </c:pt>
                <c:pt idx="20">
                  <c:v>45767</c:v>
                </c:pt>
                <c:pt idx="21">
                  <c:v>45768</c:v>
                </c:pt>
                <c:pt idx="22">
                  <c:v>45769</c:v>
                </c:pt>
                <c:pt idx="23">
                  <c:v>45770</c:v>
                </c:pt>
                <c:pt idx="24">
                  <c:v>45771</c:v>
                </c:pt>
                <c:pt idx="25">
                  <c:v>45772</c:v>
                </c:pt>
                <c:pt idx="26">
                  <c:v>45773</c:v>
                </c:pt>
                <c:pt idx="27">
                  <c:v>45774</c:v>
                </c:pt>
                <c:pt idx="28">
                  <c:v>45775</c:v>
                </c:pt>
                <c:pt idx="29">
                  <c:v>45776</c:v>
                </c:pt>
                <c:pt idx="30">
                  <c:v>45777</c:v>
                </c:pt>
              </c:numCache>
            </c:numRef>
          </c:cat>
          <c:val>
            <c:numRef>
              <c:f>'ABRIL, 25'!$K$2:$K$32</c:f>
              <c:numCache>
                <c:formatCode>_-[$$-409]* #,##0.00_ ;_-[$$-409]* \-#,##0.00\ ;_-[$$-409]* "-"??_ ;_-@_ </c:formatCode>
                <c:ptCount val="31"/>
                <c:pt idx="0">
                  <c:v>233.45</c:v>
                </c:pt>
                <c:pt idx="1">
                  <c:v>230.57</c:v>
                </c:pt>
                <c:pt idx="2">
                  <c:v>230.57</c:v>
                </c:pt>
                <c:pt idx="3">
                  <c:v>239.57</c:v>
                </c:pt>
                <c:pt idx="4">
                  <c:v>344.62</c:v>
                </c:pt>
                <c:pt idx="5">
                  <c:v>344.62</c:v>
                </c:pt>
                <c:pt idx="6">
                  <c:v>344.62</c:v>
                </c:pt>
                <c:pt idx="7">
                  <c:v>332.62</c:v>
                </c:pt>
                <c:pt idx="8">
                  <c:v>318.54000000000002</c:v>
                </c:pt>
                <c:pt idx="9">
                  <c:v>330.5</c:v>
                </c:pt>
                <c:pt idx="10">
                  <c:v>296.89999999999998</c:v>
                </c:pt>
                <c:pt idx="11">
                  <c:v>301.39999999999998</c:v>
                </c:pt>
                <c:pt idx="12">
                  <c:v>305.10000000000002</c:v>
                </c:pt>
                <c:pt idx="13">
                  <c:v>284.10000000000002</c:v>
                </c:pt>
                <c:pt idx="14">
                  <c:v>284.10000000000002</c:v>
                </c:pt>
                <c:pt idx="15">
                  <c:v>288.60000000000002</c:v>
                </c:pt>
                <c:pt idx="16">
                  <c:v>295.95999999999998</c:v>
                </c:pt>
                <c:pt idx="17">
                  <c:v>302.68</c:v>
                </c:pt>
                <c:pt idx="18">
                  <c:v>302.68</c:v>
                </c:pt>
                <c:pt idx="19">
                  <c:v>302.68</c:v>
                </c:pt>
                <c:pt idx="20">
                  <c:v>304.27999999999997</c:v>
                </c:pt>
                <c:pt idx="21">
                  <c:v>283.72000000000003</c:v>
                </c:pt>
                <c:pt idx="22">
                  <c:v>251.72</c:v>
                </c:pt>
                <c:pt idx="23">
                  <c:v>263.08</c:v>
                </c:pt>
                <c:pt idx="24">
                  <c:v>259.24</c:v>
                </c:pt>
                <c:pt idx="25">
                  <c:v>281.08</c:v>
                </c:pt>
                <c:pt idx="26">
                  <c:v>391.33</c:v>
                </c:pt>
                <c:pt idx="27">
                  <c:v>402.61</c:v>
                </c:pt>
                <c:pt idx="28">
                  <c:v>413.17</c:v>
                </c:pt>
                <c:pt idx="29">
                  <c:v>413.17</c:v>
                </c:pt>
                <c:pt idx="30">
                  <c:v>413.17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7B-403E-92FA-9707F643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50496"/>
        <c:axId val="417750976"/>
      </c:lineChart>
      <c:dateAx>
        <c:axId val="41775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417750976"/>
        <c:crosses val="autoZero"/>
        <c:auto val="1"/>
        <c:lblOffset val="100"/>
        <c:baseTimeUnit val="days"/>
      </c:dateAx>
      <c:valAx>
        <c:axId val="41775097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41775049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  <a:latin typeface="Montserrat Black" panose="00000A00000000000000" pitchFamily="2" charset="0"/>
              </a:rPr>
              <a:t>LUCRO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  <a:latin typeface="Montserrat Black" panose="00000A00000000000000" pitchFamily="2" charset="0"/>
              </a:rPr>
              <a:t>/PREJUÍZO POR </a:t>
            </a:r>
            <a:r>
              <a:rPr lang="en-US">
                <a:solidFill>
                  <a:schemeClr val="accent6">
                    <a:lumMod val="50000"/>
                  </a:schemeClr>
                </a:solidFill>
                <a:latin typeface="Montserrat Black" panose="00000A00000000000000" pitchFamily="2" charset="0"/>
              </a:rPr>
              <a:t>DIA - NOVEMBRO</a:t>
            </a:r>
          </a:p>
        </c:rich>
      </c:tx>
      <c:layout>
        <c:manualLayout>
          <c:xMode val="edge"/>
          <c:yMode val="edge"/>
          <c:x val="0.3782810002649144"/>
          <c:y val="5.2619090557252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19795716794112"/>
          <c:y val="0.17980242140286945"/>
          <c:w val="0.85975826764871432"/>
          <c:h val="0.764483280348694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'NOVEMBRO, 24'!$A$11:$A$34</c:f>
              <c:numCache>
                <c:formatCode>d\-mmm</c:formatCode>
                <c:ptCount val="24"/>
                <c:pt idx="0">
                  <c:v>45603</c:v>
                </c:pt>
                <c:pt idx="1">
                  <c:v>45604</c:v>
                </c:pt>
                <c:pt idx="2">
                  <c:v>45605</c:v>
                </c:pt>
                <c:pt idx="3">
                  <c:v>45606</c:v>
                </c:pt>
                <c:pt idx="4">
                  <c:v>45607</c:v>
                </c:pt>
                <c:pt idx="5">
                  <c:v>45608</c:v>
                </c:pt>
                <c:pt idx="6">
                  <c:v>45609</c:v>
                </c:pt>
                <c:pt idx="7">
                  <c:v>45610</c:v>
                </c:pt>
                <c:pt idx="8">
                  <c:v>45611</c:v>
                </c:pt>
                <c:pt idx="9">
                  <c:v>45612</c:v>
                </c:pt>
                <c:pt idx="10">
                  <c:v>45613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45619</c:v>
                </c:pt>
                <c:pt idx="17">
                  <c:v>45620</c:v>
                </c:pt>
                <c:pt idx="18">
                  <c:v>45621</c:v>
                </c:pt>
                <c:pt idx="19">
                  <c:v>45622</c:v>
                </c:pt>
                <c:pt idx="20">
                  <c:v>45623</c:v>
                </c:pt>
                <c:pt idx="21">
                  <c:v>45624</c:v>
                </c:pt>
                <c:pt idx="22">
                  <c:v>45625</c:v>
                </c:pt>
                <c:pt idx="23">
                  <c:v>45626</c:v>
                </c:pt>
              </c:numCache>
            </c:numRef>
          </c:cat>
          <c:val>
            <c:numRef>
              <c:f>'NOVEMBRO, 24'!$E$11:$E$34</c:f>
              <c:numCache>
                <c:formatCode>"R$ "#,##0.00</c:formatCode>
                <c:ptCount val="24"/>
                <c:pt idx="0">
                  <c:v>-101.66999999999916</c:v>
                </c:pt>
                <c:pt idx="1">
                  <c:v>425.74999999999909</c:v>
                </c:pt>
                <c:pt idx="2">
                  <c:v>26.020000000000437</c:v>
                </c:pt>
                <c:pt idx="3">
                  <c:v>488.51000000000022</c:v>
                </c:pt>
                <c:pt idx="4">
                  <c:v>430.14000000000124</c:v>
                </c:pt>
                <c:pt idx="5">
                  <c:v>531.26000000000022</c:v>
                </c:pt>
                <c:pt idx="6">
                  <c:v>535.57999999999993</c:v>
                </c:pt>
                <c:pt idx="7">
                  <c:v>406.89000000000124</c:v>
                </c:pt>
                <c:pt idx="8">
                  <c:v>238.71999999999935</c:v>
                </c:pt>
                <c:pt idx="9">
                  <c:v>576.18999999999869</c:v>
                </c:pt>
                <c:pt idx="10">
                  <c:v>0</c:v>
                </c:pt>
                <c:pt idx="11">
                  <c:v>-116.09000000000015</c:v>
                </c:pt>
                <c:pt idx="12">
                  <c:v>580.90999999999985</c:v>
                </c:pt>
                <c:pt idx="13">
                  <c:v>640.34000000000015</c:v>
                </c:pt>
                <c:pt idx="14">
                  <c:v>719.02000000000044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553.48999999999978</c:v>
                </c:pt>
                <c:pt idx="19">
                  <c:v>737.17000000000007</c:v>
                </c:pt>
                <c:pt idx="20">
                  <c:v>1401.0100000000002</c:v>
                </c:pt>
                <c:pt idx="21">
                  <c:v>852.57000000000335</c:v>
                </c:pt>
                <c:pt idx="22">
                  <c:v>915.86999999999898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1-4753-A23A-3A1ADEB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1706192"/>
        <c:axId val="731706672"/>
      </c:barChart>
      <c:dateAx>
        <c:axId val="731706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Black" panose="00000A00000000000000" pitchFamily="2" charset="0"/>
                <a:ea typeface="+mn-ea"/>
                <a:cs typeface="+mn-cs"/>
              </a:defRPr>
            </a:pPr>
            <a:endParaRPr lang="en-US"/>
          </a:p>
        </c:txPr>
        <c:crossAx val="731706672"/>
        <c:crosses val="autoZero"/>
        <c:auto val="1"/>
        <c:lblOffset val="100"/>
        <c:baseTimeUnit val="days"/>
      </c:dateAx>
      <c:valAx>
        <c:axId val="731706672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 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Black" panose="00000A00000000000000" pitchFamily="2" charset="0"/>
                <a:ea typeface="+mn-ea"/>
                <a:cs typeface="+mn-cs"/>
              </a:defRPr>
            </a:pPr>
            <a:endParaRPr lang="en-US"/>
          </a:p>
        </c:txPr>
        <c:crossAx val="7317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sq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j-ea"/>
                <a:cs typeface="+mj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LUCRO/PREJUÍZO POR DIA - DEZEMBRO</a:t>
            </a:r>
          </a:p>
        </c:rich>
      </c:tx>
      <c:layout>
        <c:manualLayout>
          <c:xMode val="edge"/>
          <c:yMode val="edge"/>
          <c:x val="0.35090965665490909"/>
          <c:y val="5.7079529575721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accent6">
                  <a:lumMod val="50000"/>
                </a:schemeClr>
              </a:solidFill>
              <a:latin typeface="Montserrat ExtraBold" panose="00000900000000000000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6109058112713"/>
          <c:y val="0.16774885631233075"/>
          <c:w val="0.84788386771448643"/>
          <c:h val="0.794093692750997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75317"/>
            </a:solidFill>
            <a:ln>
              <a:noFill/>
            </a:ln>
            <a:effectLst/>
          </c:spPr>
          <c:invertIfNegative val="1"/>
          <c:dPt>
            <c:idx val="1"/>
            <c:invertIfNegative val="1"/>
            <c:bubble3D val="0"/>
            <c:spPr>
              <a:solidFill>
                <a:srgbClr val="27531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7A-415E-AD27-7448BCE93CFC}"/>
              </c:ext>
            </c:extLst>
          </c:dPt>
          <c:dPt>
            <c:idx val="2"/>
            <c:invertIfNegative val="1"/>
            <c:bubble3D val="0"/>
            <c:spPr>
              <a:solidFill>
                <a:srgbClr val="27531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7A-415E-AD27-7448BCE93CFC}"/>
              </c:ext>
            </c:extLst>
          </c:dPt>
          <c:dPt>
            <c:idx val="4"/>
            <c:invertIfNegative val="1"/>
            <c:bubble3D val="0"/>
            <c:spPr>
              <a:solidFill>
                <a:srgbClr val="275317">
                  <a:alpha val="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82-47F6-9485-9858E897F3F3}"/>
              </c:ext>
            </c:extLst>
          </c:dPt>
          <c:cat>
            <c:numRef>
              <c:f>'DEZEMBRO, 24'!$A$2:$A$25</c:f>
              <c:numCache>
                <c:formatCode>d\-mmm</c:formatCode>
                <c:ptCount val="24"/>
                <c:pt idx="0">
                  <c:v>45634</c:v>
                </c:pt>
                <c:pt idx="1">
                  <c:v>45635</c:v>
                </c:pt>
                <c:pt idx="2">
                  <c:v>45636</c:v>
                </c:pt>
                <c:pt idx="3">
                  <c:v>45637</c:v>
                </c:pt>
                <c:pt idx="4">
                  <c:v>45638</c:v>
                </c:pt>
                <c:pt idx="5">
                  <c:v>45639</c:v>
                </c:pt>
                <c:pt idx="6">
                  <c:v>45640</c:v>
                </c:pt>
                <c:pt idx="7">
                  <c:v>45641</c:v>
                </c:pt>
                <c:pt idx="8">
                  <c:v>45642</c:v>
                </c:pt>
                <c:pt idx="9">
                  <c:v>45643</c:v>
                </c:pt>
                <c:pt idx="10">
                  <c:v>45644</c:v>
                </c:pt>
                <c:pt idx="11">
                  <c:v>45645</c:v>
                </c:pt>
                <c:pt idx="12">
                  <c:v>45646</c:v>
                </c:pt>
                <c:pt idx="13">
                  <c:v>45647</c:v>
                </c:pt>
                <c:pt idx="14">
                  <c:v>45648</c:v>
                </c:pt>
                <c:pt idx="15">
                  <c:v>45649</c:v>
                </c:pt>
                <c:pt idx="16">
                  <c:v>45650</c:v>
                </c:pt>
                <c:pt idx="17">
                  <c:v>45651</c:v>
                </c:pt>
                <c:pt idx="18">
                  <c:v>45652</c:v>
                </c:pt>
                <c:pt idx="19">
                  <c:v>45653</c:v>
                </c:pt>
                <c:pt idx="20">
                  <c:v>45654</c:v>
                </c:pt>
                <c:pt idx="21">
                  <c:v>45655</c:v>
                </c:pt>
                <c:pt idx="22">
                  <c:v>45656</c:v>
                </c:pt>
                <c:pt idx="23">
                  <c:v>45657</c:v>
                </c:pt>
              </c:numCache>
            </c:numRef>
          </c:cat>
          <c:val>
            <c:numRef>
              <c:f>'DEZEMBRO, 24'!$F$2:$F$25</c:f>
              <c:numCache>
                <c:formatCode>"R$ "#,##0.00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-55.649999999999636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165.42000000000007</c:v>
                </c:pt>
                <c:pt idx="9">
                  <c:v>-317.23999999999978</c:v>
                </c:pt>
                <c:pt idx="10">
                  <c:v>-654.54000000000087</c:v>
                </c:pt>
                <c:pt idx="11">
                  <c:v>274.82999999999993</c:v>
                </c:pt>
                <c:pt idx="12">
                  <c:v>292.65999999999985</c:v>
                </c:pt>
                <c:pt idx="13">
                  <c:v>21.420000000000073</c:v>
                </c:pt>
                <c:pt idx="14">
                  <c:v>293.39999999999964</c:v>
                </c:pt>
                <c:pt idx="15">
                  <c:v>297.43000000000029</c:v>
                </c:pt>
                <c:pt idx="16">
                  <c:v>-482.39999999999964</c:v>
                </c:pt>
                <c:pt idx="17">
                  <c:v>-478.04999999999927</c:v>
                </c:pt>
                <c:pt idx="18">
                  <c:v>-284.56000000000131</c:v>
                </c:pt>
                <c:pt idx="19">
                  <c:v>0.26000000000021828</c:v>
                </c:pt>
                <c:pt idx="20">
                  <c:v>2.0200000000004366</c:v>
                </c:pt>
                <c:pt idx="21">
                  <c:v>0</c:v>
                </c:pt>
                <c:pt idx="22">
                  <c:v>4.9599999999991269</c:v>
                </c:pt>
                <c:pt idx="23">
                  <c:v>11.270000000000437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275317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D7A-415E-AD27-7448BCE9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811645759"/>
        <c:axId val="1811649599"/>
      </c:barChart>
      <c:dateAx>
        <c:axId val="18116457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bg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0" i="0" u="none" strike="noStrike" kern="1200" cap="none" spc="20" normalizeH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1811649599"/>
        <c:crosses val="autoZero"/>
        <c:auto val="1"/>
        <c:lblOffset val="100"/>
        <c:baseTimeUnit val="days"/>
      </c:dateAx>
      <c:valAx>
        <c:axId val="1811649599"/>
        <c:scaling>
          <c:orientation val="minMax"/>
          <c:max val="14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89000"/>
                </a:schemeClr>
              </a:solidFill>
              <a:round/>
            </a:ln>
            <a:effectLst/>
          </c:spPr>
        </c:majorGridlines>
        <c:numFmt formatCode="&quot;R$ 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2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18116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70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GANHO</a:t>
            </a:r>
            <a:r>
              <a:rPr lang="en-US" sz="17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 PERCENTUAL - NOVEMBRO</a:t>
            </a:r>
          </a:p>
        </c:rich>
      </c:tx>
      <c:layout>
        <c:manualLayout>
          <c:xMode val="edge"/>
          <c:yMode val="edge"/>
          <c:x val="0.32360245527770559"/>
          <c:y val="4.635733251175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79787298546017E-2"/>
          <c:y val="0.15567175196850394"/>
          <c:w val="0.87223977405629238"/>
          <c:h val="0.76814642776754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'NOVEMBRO, 24'!$H$1</c:f>
              <c:strCache>
                <c:ptCount val="1"/>
                <c:pt idx="0">
                  <c:v>% 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'NOVEMBRO, 24'!$A$2:$A$34</c15:sqref>
                  </c15:fullRef>
                </c:ext>
              </c:extLst>
              <c:f>'NOVEMBRO, 24'!$A$12:$A$34</c:f>
              <c:numCache>
                <c:formatCode>d\-mmm</c:formatCode>
                <c:ptCount val="23"/>
                <c:pt idx="0">
                  <c:v>45604</c:v>
                </c:pt>
                <c:pt idx="1">
                  <c:v>45605</c:v>
                </c:pt>
                <c:pt idx="2">
                  <c:v>45606</c:v>
                </c:pt>
                <c:pt idx="3">
                  <c:v>45607</c:v>
                </c:pt>
                <c:pt idx="4">
                  <c:v>45608</c:v>
                </c:pt>
                <c:pt idx="5">
                  <c:v>45609</c:v>
                </c:pt>
                <c:pt idx="6">
                  <c:v>45610</c:v>
                </c:pt>
                <c:pt idx="7">
                  <c:v>45611</c:v>
                </c:pt>
                <c:pt idx="8">
                  <c:v>45612</c:v>
                </c:pt>
                <c:pt idx="9">
                  <c:v>45613</c:v>
                </c:pt>
                <c:pt idx="10">
                  <c:v>45614</c:v>
                </c:pt>
                <c:pt idx="11">
                  <c:v>45615</c:v>
                </c:pt>
                <c:pt idx="12">
                  <c:v>45616</c:v>
                </c:pt>
                <c:pt idx="13">
                  <c:v>45617</c:v>
                </c:pt>
                <c:pt idx="14">
                  <c:v>45618</c:v>
                </c:pt>
                <c:pt idx="15">
                  <c:v>45619</c:v>
                </c:pt>
                <c:pt idx="16">
                  <c:v>45620</c:v>
                </c:pt>
                <c:pt idx="17">
                  <c:v>45621</c:v>
                </c:pt>
                <c:pt idx="18">
                  <c:v>45622</c:v>
                </c:pt>
                <c:pt idx="19">
                  <c:v>45623</c:v>
                </c:pt>
                <c:pt idx="20">
                  <c:v>45624</c:v>
                </c:pt>
                <c:pt idx="21">
                  <c:v>45625</c:v>
                </c:pt>
                <c:pt idx="22">
                  <c:v>45626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'NOVEMBRO, 24'!$H$2:$H$34</c15:sqref>
                  </c15:fullRef>
                </c:ext>
              </c:extLst>
              <c:f>'NOVEMBRO, 24'!$H$12:$H$34</c:f>
              <c:numCache>
                <c:formatCode>0.0%</c:formatCode>
                <c:ptCount val="23"/>
                <c:pt idx="0">
                  <c:v>5.3832371747456198E-2</c:v>
                </c:pt>
                <c:pt idx="1">
                  <c:v>3.1219404503657587E-3</c:v>
                </c:pt>
                <c:pt idx="2">
                  <c:v>5.8430156759459298E-2</c:v>
                </c:pt>
                <c:pt idx="3">
                  <c:v>4.8417434058345546E-2</c:v>
                </c:pt>
                <c:pt idx="4">
                  <c:v>5.6814572489752205E-2</c:v>
                </c:pt>
                <c:pt idx="5">
                  <c:v>5.3987198225895865E-2</c:v>
                </c:pt>
                <c:pt idx="6">
                  <c:v>3.8764423883054247E-2</c:v>
                </c:pt>
                <c:pt idx="7">
                  <c:v>2.1809298369510042E-2</c:v>
                </c:pt>
                <c:pt idx="8">
                  <c:v>5.1516785268196703E-2</c:v>
                </c:pt>
                <c:pt idx="9">
                  <c:v>0</c:v>
                </c:pt>
                <c:pt idx="10">
                  <c:v>-9.8337687332066218E-3</c:v>
                </c:pt>
                <c:pt idx="11">
                  <c:v>4.9696513433397628E-2</c:v>
                </c:pt>
                <c:pt idx="12">
                  <c:v>5.198906860699435E-2</c:v>
                </c:pt>
                <c:pt idx="13">
                  <c:v>5.5282610066229677E-2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4.0175395809198607E-2</c:v>
                </c:pt>
                <c:pt idx="18">
                  <c:v>5.1247665883877469E-2</c:v>
                </c:pt>
                <c:pt idx="19">
                  <c:v>9.2302452091679879E-2</c:v>
                </c:pt>
                <c:pt idx="20">
                  <c:v>5.1238764456859806E-2</c:v>
                </c:pt>
                <c:pt idx="21">
                  <c:v>5.2173244314815598E-2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6-400F-86A5-EF51860C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00367"/>
        <c:axId val="58597487"/>
      </c:barChart>
      <c:dateAx>
        <c:axId val="586003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97487"/>
        <c:crosses val="autoZero"/>
        <c:auto val="1"/>
        <c:lblOffset val="100"/>
        <c:baseTimeUnit val="days"/>
        <c:majorUnit val="2"/>
        <c:majorTimeUnit val="days"/>
      </c:dateAx>
      <c:valAx>
        <c:axId val="58597487"/>
        <c:scaling>
          <c:orientation val="minMax"/>
          <c:max val="0.1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58600367"/>
        <c:crosses val="autoZero"/>
        <c:crossBetween val="between"/>
        <c:majorUnit val="1.0000000000000002E-2"/>
        <c:min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j-ea"/>
                <a:cs typeface="+mj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GANHO PERCENTUAL - DEZEMBRO</a:t>
            </a:r>
          </a:p>
        </c:rich>
      </c:tx>
      <c:layout>
        <c:manualLayout>
          <c:xMode val="edge"/>
          <c:yMode val="edge"/>
          <c:x val="0.31419826733634193"/>
          <c:y val="5.0145231846019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accent6">
                  <a:lumMod val="50000"/>
                </a:schemeClr>
              </a:solidFill>
              <a:latin typeface="Montserrat ExtraBold" panose="00000900000000000000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23803142291344E-2"/>
          <c:y val="0.15806861253705645"/>
          <c:w val="0.90371778153656346"/>
          <c:h val="0.751127302914583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75317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27531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35-4B5A-9599-8F8B3B5AA7C1}"/>
              </c:ext>
            </c:extLst>
          </c:dPt>
          <c:cat>
            <c:numRef>
              <c:f>'DEZEMBRO, 24'!$A$2:$A$25</c:f>
              <c:numCache>
                <c:formatCode>d\-mmm</c:formatCode>
                <c:ptCount val="24"/>
                <c:pt idx="0">
                  <c:v>45634</c:v>
                </c:pt>
                <c:pt idx="1">
                  <c:v>45635</c:v>
                </c:pt>
                <c:pt idx="2">
                  <c:v>45636</c:v>
                </c:pt>
                <c:pt idx="3">
                  <c:v>45637</c:v>
                </c:pt>
                <c:pt idx="4">
                  <c:v>45638</c:v>
                </c:pt>
                <c:pt idx="5">
                  <c:v>45639</c:v>
                </c:pt>
                <c:pt idx="6">
                  <c:v>45640</c:v>
                </c:pt>
                <c:pt idx="7">
                  <c:v>45641</c:v>
                </c:pt>
                <c:pt idx="8">
                  <c:v>45642</c:v>
                </c:pt>
                <c:pt idx="9">
                  <c:v>45643</c:v>
                </c:pt>
                <c:pt idx="10">
                  <c:v>45644</c:v>
                </c:pt>
                <c:pt idx="11">
                  <c:v>45645</c:v>
                </c:pt>
                <c:pt idx="12">
                  <c:v>45646</c:v>
                </c:pt>
                <c:pt idx="13">
                  <c:v>45647</c:v>
                </c:pt>
                <c:pt idx="14">
                  <c:v>45648</c:v>
                </c:pt>
                <c:pt idx="15">
                  <c:v>45649</c:v>
                </c:pt>
                <c:pt idx="16">
                  <c:v>45650</c:v>
                </c:pt>
                <c:pt idx="17">
                  <c:v>45651</c:v>
                </c:pt>
                <c:pt idx="18">
                  <c:v>45652</c:v>
                </c:pt>
                <c:pt idx="19">
                  <c:v>45653</c:v>
                </c:pt>
                <c:pt idx="20">
                  <c:v>45654</c:v>
                </c:pt>
                <c:pt idx="21">
                  <c:v>45655</c:v>
                </c:pt>
                <c:pt idx="22">
                  <c:v>45656</c:v>
                </c:pt>
                <c:pt idx="23">
                  <c:v>45657</c:v>
                </c:pt>
              </c:numCache>
            </c:numRef>
          </c:cat>
          <c:val>
            <c:numRef>
              <c:f>'DEZEMBRO, 24'!$H$2:$H$25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-5.5649999999999632E-3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1.6634571389784157E-2</c:v>
                </c:pt>
                <c:pt idx="9">
                  <c:v>-3.1379546715701721E-2</c:v>
                </c:pt>
                <c:pt idx="10">
                  <c:v>-6.684074493517006E-2</c:v>
                </c:pt>
                <c:pt idx="11">
                  <c:v>3.007554177669268E-2</c:v>
                </c:pt>
                <c:pt idx="12">
                  <c:v>3.1091638849993931E-2</c:v>
                </c:pt>
                <c:pt idx="13">
                  <c:v>2.2070005811150066E-3</c:v>
                </c:pt>
                <c:pt idx="14">
                  <c:v>3.0163772630540011E-2</c:v>
                </c:pt>
                <c:pt idx="15">
                  <c:v>2.9682744029619904E-2</c:v>
                </c:pt>
                <c:pt idx="16">
                  <c:v>-4.6754470217770738E-2</c:v>
                </c:pt>
                <c:pt idx="17">
                  <c:v>-4.8605384872698658E-2</c:v>
                </c:pt>
                <c:pt idx="18">
                  <c:v>-3.0410546654583519E-2</c:v>
                </c:pt>
                <c:pt idx="19">
                  <c:v>2.8657337601096286E-5</c:v>
                </c:pt>
                <c:pt idx="20">
                  <c:v>2.226390888110011E-4</c:v>
                </c:pt>
                <c:pt idx="21">
                  <c:v>0</c:v>
                </c:pt>
                <c:pt idx="22">
                  <c:v>5.4655647382910488E-4</c:v>
                </c:pt>
                <c:pt idx="23">
                  <c:v>1.2411948951317449E-3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A-4B7C-9FF9-4B7FD39D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810965535"/>
        <c:axId val="1810967935"/>
      </c:barChart>
      <c:dateAx>
        <c:axId val="18109655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bg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0" i="0" u="none" strike="noStrike" kern="1200" cap="none" spc="20" normalizeH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1810967935"/>
        <c:crosses val="autoZero"/>
        <c:auto val="1"/>
        <c:lblOffset val="100"/>
        <c:baseTimeUnit val="days"/>
      </c:dateAx>
      <c:valAx>
        <c:axId val="1810967935"/>
        <c:scaling>
          <c:orientation val="minMax"/>
          <c:max val="8.0000000000000016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89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2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181096553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GANHO PERCENTUAL - JANEIRO</a:t>
            </a:r>
          </a:p>
        </c:rich>
      </c:tx>
      <c:layout>
        <c:manualLayout>
          <c:xMode val="edge"/>
          <c:yMode val="edge"/>
          <c:x val="0.31805824886651718"/>
          <c:y val="5.6172841326361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10668720459525E-2"/>
          <c:y val="0.17484123342056546"/>
          <c:w val="0.87935112981529595"/>
          <c:h val="0.7430569567757673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3">
                    <a:lumMod val="89000"/>
                  </a:schemeClr>
                </a:gs>
                <a:gs pos="27000">
                  <a:schemeClr val="accent3">
                    <a:lumMod val="89000"/>
                  </a:schemeClr>
                </a:gs>
                <a:gs pos="69000">
                  <a:schemeClr val="accent3">
                    <a:lumMod val="75000"/>
                  </a:schemeClr>
                </a:gs>
                <a:gs pos="97000">
                  <a:schemeClr val="accent3">
                    <a:lumMod val="70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cat>
            <c:numRef>
              <c:f>'JANEIRO, 25'!$A$2:$A$32</c:f>
              <c:numCache>
                <c:formatCode>d\-mmm</c:formatCode>
                <c:ptCount val="31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</c:numCache>
            </c:numRef>
          </c:cat>
          <c:val>
            <c:numRef>
              <c:f>'JANEIRO, 25'!$G$2:$G$32</c:f>
              <c:numCache>
                <c:formatCode>0.0%</c:formatCode>
                <c:ptCount val="31"/>
                <c:pt idx="0">
                  <c:v>0</c:v>
                </c:pt>
                <c:pt idx="1">
                  <c:v>1.4862874591344239E-2</c:v>
                </c:pt>
                <c:pt idx="2">
                  <c:v>2.821353921737416E-2</c:v>
                </c:pt>
                <c:pt idx="3">
                  <c:v>2.666399966737432E-2</c:v>
                </c:pt>
                <c:pt idx="4">
                  <c:v>8.9435726349224153E-3</c:v>
                </c:pt>
                <c:pt idx="5">
                  <c:v>3.0508099476235447E-2</c:v>
                </c:pt>
                <c:pt idx="6">
                  <c:v>3.196829173290102E-2</c:v>
                </c:pt>
                <c:pt idx="7">
                  <c:v>1.1677311617022469E-2</c:v>
                </c:pt>
                <c:pt idx="8">
                  <c:v>-0.14079219621588268</c:v>
                </c:pt>
                <c:pt idx="9">
                  <c:v>-5.1170230619283906E-2</c:v>
                </c:pt>
                <c:pt idx="10">
                  <c:v>3.0743542013246885E-2</c:v>
                </c:pt>
                <c:pt idx="11">
                  <c:v>-1.5863663690328979E-3</c:v>
                </c:pt>
                <c:pt idx="12">
                  <c:v>2.8985768524894952E-2</c:v>
                </c:pt>
                <c:pt idx="13">
                  <c:v>1.6734295318789137E-2</c:v>
                </c:pt>
                <c:pt idx="14">
                  <c:v>2.2864580521165006E-2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0-4D7D-A26F-F27C630B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215206063"/>
        <c:axId val="1215207983"/>
      </c:barChart>
      <c:dateAx>
        <c:axId val="12152060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1215207983"/>
        <c:crosses val="autoZero"/>
        <c:auto val="1"/>
        <c:lblOffset val="100"/>
        <c:baseTimeUnit val="days"/>
        <c:majorUnit val="2"/>
        <c:majorTimeUnit val="days"/>
      </c:dateAx>
      <c:valAx>
        <c:axId val="1215207983"/>
        <c:scaling>
          <c:orientation val="minMax"/>
          <c:max val="5.000000000000001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12152060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GANHO PERCENTUAL - JANEIRO</a:t>
            </a:r>
          </a:p>
        </c:rich>
      </c:tx>
      <c:layout>
        <c:manualLayout>
          <c:xMode val="edge"/>
          <c:yMode val="edge"/>
          <c:x val="0.36452950820129393"/>
          <c:y val="4.9491340087147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7.9692836750945933E-2"/>
          <c:y val="0.18085382693735699"/>
          <c:w val="0.89373890374201037"/>
          <c:h val="0.75233286394499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'MAIO, 25'!$A$6:$A$32</c:f>
              <c:numCache>
                <c:formatCode>d\-mmm</c:formatCode>
                <c:ptCount val="27"/>
                <c:pt idx="0">
                  <c:v>45782</c:v>
                </c:pt>
                <c:pt idx="1">
                  <c:v>45783</c:v>
                </c:pt>
                <c:pt idx="2">
                  <c:v>45784</c:v>
                </c:pt>
                <c:pt idx="3">
                  <c:v>45785</c:v>
                </c:pt>
                <c:pt idx="4">
                  <c:v>45786</c:v>
                </c:pt>
                <c:pt idx="5">
                  <c:v>45787</c:v>
                </c:pt>
                <c:pt idx="6">
                  <c:v>45788</c:v>
                </c:pt>
                <c:pt idx="7">
                  <c:v>45789</c:v>
                </c:pt>
                <c:pt idx="8">
                  <c:v>45790</c:v>
                </c:pt>
                <c:pt idx="9">
                  <c:v>45791</c:v>
                </c:pt>
                <c:pt idx="10">
                  <c:v>45792</c:v>
                </c:pt>
                <c:pt idx="11">
                  <c:v>45793</c:v>
                </c:pt>
                <c:pt idx="12">
                  <c:v>45794</c:v>
                </c:pt>
                <c:pt idx="13">
                  <c:v>45795</c:v>
                </c:pt>
                <c:pt idx="14">
                  <c:v>45796</c:v>
                </c:pt>
                <c:pt idx="15">
                  <c:v>45797</c:v>
                </c:pt>
                <c:pt idx="16">
                  <c:v>45798</c:v>
                </c:pt>
                <c:pt idx="17">
                  <c:v>45799</c:v>
                </c:pt>
                <c:pt idx="18">
                  <c:v>45800</c:v>
                </c:pt>
                <c:pt idx="19">
                  <c:v>45801</c:v>
                </c:pt>
                <c:pt idx="20">
                  <c:v>45802</c:v>
                </c:pt>
                <c:pt idx="21">
                  <c:v>45803</c:v>
                </c:pt>
                <c:pt idx="22">
                  <c:v>45804</c:v>
                </c:pt>
                <c:pt idx="23">
                  <c:v>45805</c:v>
                </c:pt>
                <c:pt idx="24">
                  <c:v>45806</c:v>
                </c:pt>
                <c:pt idx="25">
                  <c:v>45807</c:v>
                </c:pt>
                <c:pt idx="26">
                  <c:v>45808</c:v>
                </c:pt>
              </c:numCache>
            </c:numRef>
          </c:cat>
          <c:val>
            <c:numRef>
              <c:f>'MAIO, 25'!$N$6:$N$32</c:f>
              <c:numCache>
                <c:formatCode>0.00%</c:formatCode>
                <c:ptCount val="27"/>
                <c:pt idx="0">
                  <c:v>1.7619865914756571E-2</c:v>
                </c:pt>
                <c:pt idx="1">
                  <c:v>4.1098822689975098E-2</c:v>
                </c:pt>
                <c:pt idx="2">
                  <c:v>0</c:v>
                </c:pt>
                <c:pt idx="3">
                  <c:v>-9.9604779201791102E-2</c:v>
                </c:pt>
                <c:pt idx="4">
                  <c:v>4.3843401923223377E-2</c:v>
                </c:pt>
                <c:pt idx="5">
                  <c:v>0</c:v>
                </c:pt>
                <c:pt idx="6">
                  <c:v>0</c:v>
                </c:pt>
                <c:pt idx="7">
                  <c:v>4.3751974915534377E-2</c:v>
                </c:pt>
                <c:pt idx="8">
                  <c:v>2.4405579748957781E-2</c:v>
                </c:pt>
                <c:pt idx="9">
                  <c:v>3.0825888290254389E-2</c:v>
                </c:pt>
                <c:pt idx="10">
                  <c:v>2.6551990296614886E-2</c:v>
                </c:pt>
                <c:pt idx="11">
                  <c:v>-1.6069088487400414E-2</c:v>
                </c:pt>
                <c:pt idx="12">
                  <c:v>2.554529377087834E-2</c:v>
                </c:pt>
                <c:pt idx="13">
                  <c:v>-3.3211981861148419E-3</c:v>
                </c:pt>
                <c:pt idx="14">
                  <c:v>2.3069528997116333E-2</c:v>
                </c:pt>
                <c:pt idx="15">
                  <c:v>2.3384486898423613E-2</c:v>
                </c:pt>
                <c:pt idx="16">
                  <c:v>-9.9969397123329598E-2</c:v>
                </c:pt>
                <c:pt idx="17">
                  <c:v>-3.660181082643036E-2</c:v>
                </c:pt>
                <c:pt idx="18">
                  <c:v>2.3395320935812813E-2</c:v>
                </c:pt>
                <c:pt idx="19">
                  <c:v>0</c:v>
                </c:pt>
                <c:pt idx="20">
                  <c:v>0</c:v>
                </c:pt>
                <c:pt idx="21">
                  <c:v>2.3329425556858144E-2</c:v>
                </c:pt>
                <c:pt idx="22">
                  <c:v>-6.1099018597014654E-3</c:v>
                </c:pt>
                <c:pt idx="23">
                  <c:v>6.531678641411018E-3</c:v>
                </c:pt>
                <c:pt idx="24">
                  <c:v>0</c:v>
                </c:pt>
                <c:pt idx="25">
                  <c:v>-2.8629232354849897E-2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9-3F47-9EB2-F9A332D9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73600"/>
        <c:axId val="1761630720"/>
      </c:barChart>
      <c:dateAx>
        <c:axId val="1761873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itchFamily="2" charset="77"/>
                <a:ea typeface="+mn-ea"/>
                <a:cs typeface="+mn-cs"/>
              </a:defRPr>
            </a:pPr>
            <a:endParaRPr lang="en-BR"/>
          </a:p>
        </c:txPr>
        <c:crossAx val="1761630720"/>
        <c:crosses val="autoZero"/>
        <c:auto val="1"/>
        <c:lblOffset val="100"/>
        <c:baseTimeUnit val="days"/>
      </c:dateAx>
      <c:valAx>
        <c:axId val="17616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itchFamily="2" charset="77"/>
                <a:ea typeface="+mn-ea"/>
                <a:cs typeface="+mn-cs"/>
              </a:defRPr>
            </a:pPr>
            <a:endParaRPr lang="en-BR"/>
          </a:p>
        </c:txPr>
        <c:crossAx val="1761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Montserrat" pitchFamily="2" charset="77"/>
              </a:rPr>
              <a:t>GANHO</a:t>
            </a:r>
            <a:r>
              <a:rPr lang="en-US" sz="2000" b="1" baseline="0">
                <a:latin typeface="Montserrat" pitchFamily="2" charset="77"/>
              </a:rPr>
              <a:t> PERCENTUAL - MAIO</a:t>
            </a:r>
            <a:endParaRPr lang="en-US" sz="2000" b="1">
              <a:latin typeface="Montserrat" pitchFamily="2" charset="77"/>
            </a:endParaRPr>
          </a:p>
        </c:rich>
      </c:tx>
      <c:layout>
        <c:manualLayout>
          <c:xMode val="edge"/>
          <c:yMode val="edge"/>
          <c:x val="0.36483035939423858"/>
          <c:y val="5.9269383111211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37808309598754E-2"/>
          <c:y val="0.17324576939515413"/>
          <c:w val="0.87945900550776901"/>
          <c:h val="0.75754490626379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'MAIO, 25'!$A$6:$A$32</c:f>
              <c:numCache>
                <c:formatCode>d\-mmm</c:formatCode>
                <c:ptCount val="27"/>
                <c:pt idx="0">
                  <c:v>45782</c:v>
                </c:pt>
                <c:pt idx="1">
                  <c:v>45783</c:v>
                </c:pt>
                <c:pt idx="2">
                  <c:v>45784</c:v>
                </c:pt>
                <c:pt idx="3">
                  <c:v>45785</c:v>
                </c:pt>
                <c:pt idx="4">
                  <c:v>45786</c:v>
                </c:pt>
                <c:pt idx="5">
                  <c:v>45787</c:v>
                </c:pt>
                <c:pt idx="6">
                  <c:v>45788</c:v>
                </c:pt>
                <c:pt idx="7">
                  <c:v>45789</c:v>
                </c:pt>
                <c:pt idx="8">
                  <c:v>45790</c:v>
                </c:pt>
                <c:pt idx="9">
                  <c:v>45791</c:v>
                </c:pt>
                <c:pt idx="10">
                  <c:v>45792</c:v>
                </c:pt>
                <c:pt idx="11">
                  <c:v>45793</c:v>
                </c:pt>
                <c:pt idx="12">
                  <c:v>45794</c:v>
                </c:pt>
                <c:pt idx="13">
                  <c:v>45795</c:v>
                </c:pt>
                <c:pt idx="14">
                  <c:v>45796</c:v>
                </c:pt>
                <c:pt idx="15">
                  <c:v>45797</c:v>
                </c:pt>
                <c:pt idx="16">
                  <c:v>45798</c:v>
                </c:pt>
                <c:pt idx="17">
                  <c:v>45799</c:v>
                </c:pt>
                <c:pt idx="18">
                  <c:v>45800</c:v>
                </c:pt>
                <c:pt idx="19">
                  <c:v>45801</c:v>
                </c:pt>
                <c:pt idx="20">
                  <c:v>45802</c:v>
                </c:pt>
                <c:pt idx="21">
                  <c:v>45803</c:v>
                </c:pt>
                <c:pt idx="22">
                  <c:v>45804</c:v>
                </c:pt>
                <c:pt idx="23">
                  <c:v>45805</c:v>
                </c:pt>
                <c:pt idx="24">
                  <c:v>45806</c:v>
                </c:pt>
                <c:pt idx="25">
                  <c:v>45807</c:v>
                </c:pt>
                <c:pt idx="26">
                  <c:v>45808</c:v>
                </c:pt>
              </c:numCache>
            </c:numRef>
          </c:cat>
          <c:val>
            <c:numRef>
              <c:f>'MAIO, 25'!$N$6:$N$32</c:f>
              <c:numCache>
                <c:formatCode>0.00%</c:formatCode>
                <c:ptCount val="27"/>
                <c:pt idx="0">
                  <c:v>1.7619865914756571E-2</c:v>
                </c:pt>
                <c:pt idx="1">
                  <c:v>4.1098822689975098E-2</c:v>
                </c:pt>
                <c:pt idx="2">
                  <c:v>0</c:v>
                </c:pt>
                <c:pt idx="3">
                  <c:v>-9.9604779201791102E-2</c:v>
                </c:pt>
                <c:pt idx="4">
                  <c:v>4.3843401923223377E-2</c:v>
                </c:pt>
                <c:pt idx="5">
                  <c:v>0</c:v>
                </c:pt>
                <c:pt idx="6">
                  <c:v>0</c:v>
                </c:pt>
                <c:pt idx="7">
                  <c:v>4.3751974915534377E-2</c:v>
                </c:pt>
                <c:pt idx="8">
                  <c:v>2.4405579748957781E-2</c:v>
                </c:pt>
                <c:pt idx="9">
                  <c:v>3.0825888290254389E-2</c:v>
                </c:pt>
                <c:pt idx="10">
                  <c:v>2.6551990296614886E-2</c:v>
                </c:pt>
                <c:pt idx="11">
                  <c:v>-1.6069088487400414E-2</c:v>
                </c:pt>
                <c:pt idx="12">
                  <c:v>2.554529377087834E-2</c:v>
                </c:pt>
                <c:pt idx="13">
                  <c:v>-3.3211981861148419E-3</c:v>
                </c:pt>
                <c:pt idx="14">
                  <c:v>2.3069528997116333E-2</c:v>
                </c:pt>
                <c:pt idx="15">
                  <c:v>2.3384486898423613E-2</c:v>
                </c:pt>
                <c:pt idx="16">
                  <c:v>-9.9969397123329598E-2</c:v>
                </c:pt>
                <c:pt idx="17">
                  <c:v>-3.660181082643036E-2</c:v>
                </c:pt>
                <c:pt idx="18">
                  <c:v>2.3395320935812813E-2</c:v>
                </c:pt>
                <c:pt idx="19">
                  <c:v>0</c:v>
                </c:pt>
                <c:pt idx="20">
                  <c:v>0</c:v>
                </c:pt>
                <c:pt idx="21">
                  <c:v>2.3329425556858144E-2</c:v>
                </c:pt>
                <c:pt idx="22">
                  <c:v>-6.1099018597014654E-3</c:v>
                </c:pt>
                <c:pt idx="23">
                  <c:v>6.531678641411018E-3</c:v>
                </c:pt>
                <c:pt idx="24">
                  <c:v>0</c:v>
                </c:pt>
                <c:pt idx="25">
                  <c:v>-2.8629232354849897E-2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A-0841-99E1-DA3FD7FA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036095"/>
        <c:axId val="1775963728"/>
      </c:barChart>
      <c:dateAx>
        <c:axId val="13340360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en-BR"/>
          </a:p>
        </c:txPr>
        <c:crossAx val="1775963728"/>
        <c:crosses val="autoZero"/>
        <c:auto val="1"/>
        <c:lblOffset val="100"/>
        <c:baseTimeUnit val="days"/>
      </c:dateAx>
      <c:valAx>
        <c:axId val="1775963728"/>
        <c:scaling>
          <c:orientation val="minMax"/>
          <c:max val="0.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en-BR"/>
          </a:p>
        </c:txPr>
        <c:crossAx val="1334036095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HISTÓRICO DA BANCA</a:t>
            </a:r>
          </a:p>
        </c:rich>
      </c:tx>
      <c:layout>
        <c:manualLayout>
          <c:xMode val="edge"/>
          <c:yMode val="edge"/>
          <c:x val="0.37015093670738297"/>
          <c:y val="8.1571309129716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4243854633146"/>
          <c:y val="0.23660120588612896"/>
          <c:w val="0.84741396019357551"/>
          <c:h val="0.58230843889158546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50000"/>
                </a:schemeClr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cat>
            <c:numRef>
              <c:f>'JUNHO, 25'!$A$2:$A$31</c:f>
              <c:numCache>
                <c:formatCode>d\-mmm</c:formatCode>
                <c:ptCount val="30"/>
                <c:pt idx="0">
                  <c:v>45809</c:v>
                </c:pt>
                <c:pt idx="1">
                  <c:v>45810</c:v>
                </c:pt>
                <c:pt idx="2">
                  <c:v>45811</c:v>
                </c:pt>
                <c:pt idx="3">
                  <c:v>45812</c:v>
                </c:pt>
                <c:pt idx="4">
                  <c:v>45813</c:v>
                </c:pt>
                <c:pt idx="5">
                  <c:v>45814</c:v>
                </c:pt>
                <c:pt idx="6">
                  <c:v>45815</c:v>
                </c:pt>
                <c:pt idx="7">
                  <c:v>45816</c:v>
                </c:pt>
                <c:pt idx="8">
                  <c:v>45817</c:v>
                </c:pt>
                <c:pt idx="9">
                  <c:v>45818</c:v>
                </c:pt>
                <c:pt idx="10">
                  <c:v>45819</c:v>
                </c:pt>
                <c:pt idx="11">
                  <c:v>45820</c:v>
                </c:pt>
                <c:pt idx="12">
                  <c:v>45821</c:v>
                </c:pt>
                <c:pt idx="13">
                  <c:v>45822</c:v>
                </c:pt>
                <c:pt idx="14">
                  <c:v>45823</c:v>
                </c:pt>
                <c:pt idx="15">
                  <c:v>45824</c:v>
                </c:pt>
                <c:pt idx="16">
                  <c:v>45825</c:v>
                </c:pt>
                <c:pt idx="17">
                  <c:v>45826</c:v>
                </c:pt>
                <c:pt idx="18">
                  <c:v>45827</c:v>
                </c:pt>
                <c:pt idx="19">
                  <c:v>45828</c:v>
                </c:pt>
                <c:pt idx="20">
                  <c:v>45829</c:v>
                </c:pt>
                <c:pt idx="21">
                  <c:v>45830</c:v>
                </c:pt>
                <c:pt idx="22">
                  <c:v>45831</c:v>
                </c:pt>
                <c:pt idx="23">
                  <c:v>45832</c:v>
                </c:pt>
                <c:pt idx="24">
                  <c:v>45833</c:v>
                </c:pt>
                <c:pt idx="25">
                  <c:v>45834</c:v>
                </c:pt>
                <c:pt idx="26">
                  <c:v>45835</c:v>
                </c:pt>
                <c:pt idx="27">
                  <c:v>45836</c:v>
                </c:pt>
                <c:pt idx="28">
                  <c:v>45837</c:v>
                </c:pt>
                <c:pt idx="29">
                  <c:v>45838</c:v>
                </c:pt>
              </c:numCache>
            </c:numRef>
          </c:cat>
          <c:val>
            <c:numRef>
              <c:f>'JUNHO, 25'!$G$2:$G$31</c:f>
              <c:numCache>
                <c:formatCode>_-[$$-409]* #,##0.00_ ;_-[$$-409]* \-#,##0.00\ ;_-[$$-409]* "-"??_ ;_-@_ </c:formatCode>
                <c:ptCount val="30"/>
                <c:pt idx="0">
                  <c:v>508.74</c:v>
                </c:pt>
                <c:pt idx="1">
                  <c:v>510.54</c:v>
                </c:pt>
                <c:pt idx="2">
                  <c:v>516.86</c:v>
                </c:pt>
                <c:pt idx="3">
                  <c:v>509.62</c:v>
                </c:pt>
                <c:pt idx="4">
                  <c:v>518.84</c:v>
                </c:pt>
                <c:pt idx="5">
                  <c:v>518.84</c:v>
                </c:pt>
                <c:pt idx="6">
                  <c:v>518.84</c:v>
                </c:pt>
                <c:pt idx="7">
                  <c:v>518.84</c:v>
                </c:pt>
                <c:pt idx="8">
                  <c:v>518.84</c:v>
                </c:pt>
                <c:pt idx="9">
                  <c:v>526.4</c:v>
                </c:pt>
                <c:pt idx="10">
                  <c:v>491.3</c:v>
                </c:pt>
                <c:pt idx="11">
                  <c:v>491.3</c:v>
                </c:pt>
                <c:pt idx="12">
                  <c:v>512.70000000000005</c:v>
                </c:pt>
                <c:pt idx="13">
                  <c:v>512.70000000000005</c:v>
                </c:pt>
                <c:pt idx="14">
                  <c:v>520.58000000000004</c:v>
                </c:pt>
                <c:pt idx="15">
                  <c:v>520.58000000000004</c:v>
                </c:pt>
                <c:pt idx="16">
                  <c:v>532.34</c:v>
                </c:pt>
                <c:pt idx="17">
                  <c:v>543.14</c:v>
                </c:pt>
                <c:pt idx="18">
                  <c:v>543.14</c:v>
                </c:pt>
                <c:pt idx="19">
                  <c:v>529.94000000000005</c:v>
                </c:pt>
                <c:pt idx="20">
                  <c:v>529.94000000000005</c:v>
                </c:pt>
                <c:pt idx="21">
                  <c:v>529.94000000000005</c:v>
                </c:pt>
                <c:pt idx="22">
                  <c:v>529.94000000000005</c:v>
                </c:pt>
                <c:pt idx="23">
                  <c:v>542.62</c:v>
                </c:pt>
                <c:pt idx="24">
                  <c:v>542.62</c:v>
                </c:pt>
                <c:pt idx="25">
                  <c:v>546.12</c:v>
                </c:pt>
                <c:pt idx="26">
                  <c:v>547.72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64-BD46-8C3F-E4B7A2684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96096"/>
        <c:axId val="417796576"/>
      </c:lineChart>
      <c:dateAx>
        <c:axId val="417796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417796576"/>
        <c:crosses val="autoZero"/>
        <c:auto val="1"/>
        <c:lblOffset val="100"/>
        <c:baseTimeUnit val="days"/>
      </c:dateAx>
      <c:valAx>
        <c:axId val="417796576"/>
        <c:scaling>
          <c:orientation val="minMax"/>
          <c:max val="6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anose="00000900000000000000" pitchFamily="2" charset="0"/>
                <a:ea typeface="+mn-ea"/>
                <a:cs typeface="+mn-cs"/>
              </a:defRPr>
            </a:pPr>
            <a:endParaRPr lang="en-US"/>
          </a:p>
        </c:txPr>
        <c:crossAx val="41779609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Montserrat ExtraBold" panose="00000900000000000000" pitchFamily="2" charset="0"/>
              </a:rPr>
              <a:t>GANHO PERCENTUAL</a:t>
            </a:r>
          </a:p>
        </c:rich>
      </c:tx>
      <c:layout>
        <c:manualLayout>
          <c:xMode val="edge"/>
          <c:yMode val="edge"/>
          <c:x val="0.40076368862746048"/>
          <c:y val="5.1068002863278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8.6524840147599841E-2"/>
          <c:y val="0.18225514765172618"/>
          <c:w val="0.8879856895953222"/>
          <c:h val="0.756269391572657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'JUNHO, 25'!$A$2:$A$31</c:f>
              <c:numCache>
                <c:formatCode>d\-mmm</c:formatCode>
                <c:ptCount val="30"/>
                <c:pt idx="0">
                  <c:v>45809</c:v>
                </c:pt>
                <c:pt idx="1">
                  <c:v>45810</c:v>
                </c:pt>
                <c:pt idx="2">
                  <c:v>45811</c:v>
                </c:pt>
                <c:pt idx="3">
                  <c:v>45812</c:v>
                </c:pt>
                <c:pt idx="4">
                  <c:v>45813</c:v>
                </c:pt>
                <c:pt idx="5">
                  <c:v>45814</c:v>
                </c:pt>
                <c:pt idx="6">
                  <c:v>45815</c:v>
                </c:pt>
                <c:pt idx="7">
                  <c:v>45816</c:v>
                </c:pt>
                <c:pt idx="8">
                  <c:v>45817</c:v>
                </c:pt>
                <c:pt idx="9">
                  <c:v>45818</c:v>
                </c:pt>
                <c:pt idx="10">
                  <c:v>45819</c:v>
                </c:pt>
                <c:pt idx="11">
                  <c:v>45820</c:v>
                </c:pt>
                <c:pt idx="12">
                  <c:v>45821</c:v>
                </c:pt>
                <c:pt idx="13">
                  <c:v>45822</c:v>
                </c:pt>
                <c:pt idx="14">
                  <c:v>45823</c:v>
                </c:pt>
                <c:pt idx="15">
                  <c:v>45824</c:v>
                </c:pt>
                <c:pt idx="16">
                  <c:v>45825</c:v>
                </c:pt>
                <c:pt idx="17">
                  <c:v>45826</c:v>
                </c:pt>
                <c:pt idx="18">
                  <c:v>45827</c:v>
                </c:pt>
                <c:pt idx="19">
                  <c:v>45828</c:v>
                </c:pt>
                <c:pt idx="20">
                  <c:v>45829</c:v>
                </c:pt>
                <c:pt idx="21">
                  <c:v>45830</c:v>
                </c:pt>
                <c:pt idx="22">
                  <c:v>45831</c:v>
                </c:pt>
                <c:pt idx="23">
                  <c:v>45832</c:v>
                </c:pt>
                <c:pt idx="24">
                  <c:v>45833</c:v>
                </c:pt>
                <c:pt idx="25">
                  <c:v>45834</c:v>
                </c:pt>
                <c:pt idx="26">
                  <c:v>45835</c:v>
                </c:pt>
                <c:pt idx="27">
                  <c:v>45836</c:v>
                </c:pt>
                <c:pt idx="28">
                  <c:v>45837</c:v>
                </c:pt>
                <c:pt idx="29">
                  <c:v>45838</c:v>
                </c:pt>
              </c:numCache>
            </c:numRef>
          </c:cat>
          <c:val>
            <c:numRef>
              <c:f>'JUNHO, 25'!$N$2:$N$31</c:f>
              <c:numCache>
                <c:formatCode>0.00%</c:formatCode>
                <c:ptCount val="30"/>
                <c:pt idx="0">
                  <c:v>3.5381530840901273E-3</c:v>
                </c:pt>
                <c:pt idx="1">
                  <c:v>1.2379049633721145E-2</c:v>
                </c:pt>
                <c:pt idx="2">
                  <c:v>-1.4007661649189353E-2</c:v>
                </c:pt>
                <c:pt idx="3">
                  <c:v>1.8091911620423114E-2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1.4570966001079225E-2</c:v>
                </c:pt>
                <c:pt idx="9">
                  <c:v>-6.6679331306990816E-2</c:v>
                </c:pt>
                <c:pt idx="10">
                  <c:v>0</c:v>
                </c:pt>
                <c:pt idx="11">
                  <c:v>4.3557907592102652E-2</c:v>
                </c:pt>
                <c:pt idx="12">
                  <c:v>0</c:v>
                </c:pt>
                <c:pt idx="13">
                  <c:v>1.5369611858786804E-2</c:v>
                </c:pt>
                <c:pt idx="14">
                  <c:v>0</c:v>
                </c:pt>
                <c:pt idx="15">
                  <c:v>2.2590187867378674E-2</c:v>
                </c:pt>
                <c:pt idx="16">
                  <c:v>2.0287786001427572E-2</c:v>
                </c:pt>
                <c:pt idx="17">
                  <c:v>0</c:v>
                </c:pt>
                <c:pt idx="18">
                  <c:v>-2.4303126265787702E-2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2.3927237045703192E-2</c:v>
                </c:pt>
                <c:pt idx="23">
                  <c:v>0</c:v>
                </c:pt>
                <c:pt idx="24">
                  <c:v>6.4501861339427225E-3</c:v>
                </c:pt>
                <c:pt idx="25">
                  <c:v>2.9297590273200443E-3</c:v>
                </c:pt>
                <c:pt idx="26">
                  <c:v>1.4240852990579044E-2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C-F54B-8BAF-DF371B175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294687"/>
        <c:axId val="1481296399"/>
      </c:barChart>
      <c:dateAx>
        <c:axId val="14812946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Montserrat" pitchFamily="2" charset="77"/>
                <a:ea typeface="+mn-ea"/>
                <a:cs typeface="+mn-cs"/>
              </a:defRPr>
            </a:pPr>
            <a:endParaRPr lang="en-BR"/>
          </a:p>
        </c:txPr>
        <c:crossAx val="1481296399"/>
        <c:crosses val="autoZero"/>
        <c:auto val="1"/>
        <c:lblOffset val="100"/>
        <c:baseTimeUnit val="days"/>
      </c:dateAx>
      <c:valAx>
        <c:axId val="1481296399"/>
        <c:scaling>
          <c:orientation val="minMax"/>
          <c:max val="0.05"/>
          <c:min val="-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Mangal" panose="02040503050203030202" pitchFamily="18" charset="0"/>
              </a:defRPr>
            </a:pPr>
            <a:endParaRPr lang="en-BR"/>
          </a:p>
        </c:txPr>
        <c:crossAx val="1481294687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Montserrat Black" panose="00000A00000000000000" pitchFamily="2" charset="0"/>
              </a:rPr>
              <a:t>LUCRO/PREJUÍZO POR DIA</a:t>
            </a:r>
          </a:p>
        </c:rich>
      </c:tx>
      <c:layout>
        <c:manualLayout>
          <c:xMode val="edge"/>
          <c:yMode val="edge"/>
          <c:x val="0.36543184508749277"/>
          <c:y val="6.2290057011375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7.9692836750945933E-2"/>
          <c:y val="0.18085382693735699"/>
          <c:w val="0.89373890374201037"/>
          <c:h val="0.75233286394499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'JUNHO, 25'!$A$2:$A$31</c:f>
              <c:numCache>
                <c:formatCode>d\-mmm</c:formatCode>
                <c:ptCount val="30"/>
                <c:pt idx="0">
                  <c:v>45809</c:v>
                </c:pt>
                <c:pt idx="1">
                  <c:v>45810</c:v>
                </c:pt>
                <c:pt idx="2">
                  <c:v>45811</c:v>
                </c:pt>
                <c:pt idx="3">
                  <c:v>45812</c:v>
                </c:pt>
                <c:pt idx="4">
                  <c:v>45813</c:v>
                </c:pt>
                <c:pt idx="5">
                  <c:v>45814</c:v>
                </c:pt>
                <c:pt idx="6">
                  <c:v>45815</c:v>
                </c:pt>
                <c:pt idx="7">
                  <c:v>45816</c:v>
                </c:pt>
                <c:pt idx="8">
                  <c:v>45817</c:v>
                </c:pt>
                <c:pt idx="9">
                  <c:v>45818</c:v>
                </c:pt>
                <c:pt idx="10">
                  <c:v>45819</c:v>
                </c:pt>
                <c:pt idx="11">
                  <c:v>45820</c:v>
                </c:pt>
                <c:pt idx="12">
                  <c:v>45821</c:v>
                </c:pt>
                <c:pt idx="13">
                  <c:v>45822</c:v>
                </c:pt>
                <c:pt idx="14">
                  <c:v>45823</c:v>
                </c:pt>
                <c:pt idx="15">
                  <c:v>45824</c:v>
                </c:pt>
                <c:pt idx="16">
                  <c:v>45825</c:v>
                </c:pt>
                <c:pt idx="17">
                  <c:v>45826</c:v>
                </c:pt>
                <c:pt idx="18">
                  <c:v>45827</c:v>
                </c:pt>
                <c:pt idx="19">
                  <c:v>45828</c:v>
                </c:pt>
                <c:pt idx="20">
                  <c:v>45829</c:v>
                </c:pt>
                <c:pt idx="21">
                  <c:v>45830</c:v>
                </c:pt>
                <c:pt idx="22">
                  <c:v>45831</c:v>
                </c:pt>
                <c:pt idx="23">
                  <c:v>45832</c:v>
                </c:pt>
                <c:pt idx="24">
                  <c:v>45833</c:v>
                </c:pt>
                <c:pt idx="25">
                  <c:v>45834</c:v>
                </c:pt>
                <c:pt idx="26">
                  <c:v>45835</c:v>
                </c:pt>
                <c:pt idx="27">
                  <c:v>45836</c:v>
                </c:pt>
                <c:pt idx="28">
                  <c:v>45837</c:v>
                </c:pt>
                <c:pt idx="29">
                  <c:v>45838</c:v>
                </c:pt>
              </c:numCache>
            </c:numRef>
          </c:cat>
          <c:val>
            <c:numRef>
              <c:f>'JUNHO, 25'!$J$2:$J$31</c:f>
              <c:numCache>
                <c:formatCode>_-[$$-409]* #,##0.00_ ;_-[$$-409]* \-#,##0.00\ ;_-[$$-409]* "-"??_ ;_-@_ </c:formatCode>
                <c:ptCount val="30"/>
                <c:pt idx="0">
                  <c:v>1.8000000000000114</c:v>
                </c:pt>
                <c:pt idx="1">
                  <c:v>6.3199999999999932</c:v>
                </c:pt>
                <c:pt idx="2">
                  <c:v>-7.2400000000000091</c:v>
                </c:pt>
                <c:pt idx="3">
                  <c:v>9.2200000000000273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7.5599999999999454</c:v>
                </c:pt>
                <c:pt idx="9">
                  <c:v>-35.099999999999966</c:v>
                </c:pt>
                <c:pt idx="10">
                  <c:v>0</c:v>
                </c:pt>
                <c:pt idx="11">
                  <c:v>21.400000000000034</c:v>
                </c:pt>
                <c:pt idx="12">
                  <c:v>0</c:v>
                </c:pt>
                <c:pt idx="13">
                  <c:v>7.8799999999999955</c:v>
                </c:pt>
                <c:pt idx="14">
                  <c:v>0</c:v>
                </c:pt>
                <c:pt idx="15">
                  <c:v>11.759999999999991</c:v>
                </c:pt>
                <c:pt idx="16">
                  <c:v>10.799999999999955</c:v>
                </c:pt>
                <c:pt idx="17">
                  <c:v>0</c:v>
                </c:pt>
                <c:pt idx="18">
                  <c:v>-13.199999999999932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12.67999999999995</c:v>
                </c:pt>
                <c:pt idx="23">
                  <c:v>0</c:v>
                </c:pt>
                <c:pt idx="24">
                  <c:v>3.5</c:v>
                </c:pt>
                <c:pt idx="25">
                  <c:v>1.6000000000000227</c:v>
                </c:pt>
                <c:pt idx="26">
                  <c:v>7.7999999999999545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E-3949-AF57-56CB9817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73600"/>
        <c:axId val="1761630720"/>
      </c:barChart>
      <c:dateAx>
        <c:axId val="1761873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itchFamily="2" charset="77"/>
                <a:ea typeface="+mn-ea"/>
                <a:cs typeface="+mn-cs"/>
              </a:defRPr>
            </a:pPr>
            <a:endParaRPr lang="en-BR"/>
          </a:p>
        </c:txPr>
        <c:crossAx val="1761630720"/>
        <c:crosses val="autoZero"/>
        <c:auto val="1"/>
        <c:lblOffset val="100"/>
        <c:baseTimeUnit val="days"/>
      </c:dateAx>
      <c:valAx>
        <c:axId val="1761630720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itchFamily="2" charset="77"/>
                <a:ea typeface="+mn-ea"/>
                <a:cs typeface="+mn-cs"/>
              </a:defRPr>
            </a:pPr>
            <a:endParaRPr lang="en-BR"/>
          </a:p>
        </c:txPr>
        <c:crossAx val="1761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itchFamily="2" charset="77"/>
                <a:ea typeface="+mn-ea"/>
                <a:cs typeface="+mn-cs"/>
              </a:defRPr>
            </a:pPr>
            <a:r>
              <a:rPr lang="pt-BR" b="1" i="0">
                <a:latin typeface="Montserrat ExtraBold" pitchFamily="2" charset="77"/>
              </a:rPr>
              <a:t>WIN x LOSS POR CICLO</a:t>
            </a:r>
            <a:endParaRPr lang="en-US" b="1" i="0" baseline="0">
              <a:latin typeface="Montserrat ExtraBold" pitchFamily="2" charset="77"/>
            </a:endParaRPr>
          </a:p>
        </c:rich>
      </c:tx>
      <c:layout>
        <c:manualLayout>
          <c:xMode val="edge"/>
          <c:yMode val="edge"/>
          <c:x val="0.2703400497105321"/>
          <c:y val="4.1760990668605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 ExtraBold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4864537432605"/>
          <c:y val="0.11325634597879927"/>
          <c:w val="0.79714250050003921"/>
          <c:h val="0.75807631954104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'REGISTROS DE OPERAÇÕES '!$W$4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'REGISTROS DE OPERAÇÕES '!$V$5:$V$6</c:f>
              <c:strCache>
                <c:ptCount val="2"/>
                <c:pt idx="0">
                  <c:v>Ciclo 1</c:v>
                </c:pt>
                <c:pt idx="1">
                  <c:v>Ciclo 2</c:v>
                </c:pt>
              </c:strCache>
            </c:strRef>
          </c:cat>
          <c:val>
            <c:numRef>
              <c:f>'REGISTROS DE OPERAÇÕES '!$W$5:$W$6</c:f>
              <c:numCache>
                <c:formatCode>General</c:formatCode>
                <c:ptCount val="2"/>
                <c:pt idx="0">
                  <c:v>20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7E4B-B04F-1CD77C523389}"/>
            </c:ext>
          </c:extLst>
        </c:ser>
        <c:ser>
          <c:idx val="1"/>
          <c:order val="1"/>
          <c:tx>
            <c:strRef>
              <c:f>'REGISTROS DE OPERAÇÕES '!$X$4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'REGISTROS DE OPERAÇÕES '!$V$5:$V$6</c:f>
              <c:strCache>
                <c:ptCount val="2"/>
                <c:pt idx="0">
                  <c:v>Ciclo 1</c:v>
                </c:pt>
                <c:pt idx="1">
                  <c:v>Ciclo 2</c:v>
                </c:pt>
              </c:strCache>
            </c:strRef>
          </c:cat>
          <c:val>
            <c:numRef>
              <c:f>'REGISTROS DE OPERAÇÕES '!$X$5:$X$6</c:f>
              <c:numCache>
                <c:formatCode>General</c:formatCode>
                <c:ptCount val="2"/>
                <c:pt idx="0">
                  <c:v>23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3-7E4B-B04F-1CD77C52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488128"/>
        <c:axId val="2096541248"/>
      </c:barChart>
      <c:catAx>
        <c:axId val="20964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en-BR"/>
          </a:p>
        </c:txPr>
        <c:crossAx val="2096541248"/>
        <c:crosses val="autoZero"/>
        <c:auto val="1"/>
        <c:lblAlgn val="ctr"/>
        <c:lblOffset val="100"/>
        <c:noMultiLvlLbl val="0"/>
      </c:catAx>
      <c:valAx>
        <c:axId val="20965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SemiBold" pitchFamily="2" charset="77"/>
                <a:ea typeface="+mn-ea"/>
                <a:cs typeface="+mn-cs"/>
              </a:defRPr>
            </a:pPr>
            <a:endParaRPr lang="en-BR"/>
          </a:p>
        </c:txPr>
        <c:crossAx val="2096488128"/>
        <c:crosses val="autoZero"/>
        <c:crossBetween val="between"/>
        <c:majorUnit val="4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54705574607853"/>
          <c:y val="0.93226238486845181"/>
          <c:w val="0.45281435990021607"/>
          <c:h val="4.2727700230780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77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ExtraBold" pitchFamily="2" charset="77"/>
                <a:ea typeface="+mn-ea"/>
                <a:cs typeface="+mn-cs"/>
              </a:defRPr>
            </a:pPr>
            <a:r>
              <a:rPr lang="pt-BR" sz="2000" b="1" i="0">
                <a:latin typeface="Montserrat ExtraBold" pitchFamily="2" charset="77"/>
              </a:rPr>
              <a:t>Operações por ativo</a:t>
            </a:r>
            <a:endParaRPr lang="en-US" sz="2000" b="1" i="0">
              <a:latin typeface="Montserrat ExtraBold" pitchFamily="2" charset="77"/>
            </a:endParaRPr>
          </a:p>
        </c:rich>
      </c:tx>
      <c:layout>
        <c:manualLayout>
          <c:xMode val="edge"/>
          <c:yMode val="edge"/>
          <c:x val="0.35933421436169971"/>
          <c:y val="3.2831066640375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Montserrat ExtraBold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3389964920282"/>
          <c:y val="0.16245317242236443"/>
          <c:w val="0.73071630938675325"/>
          <c:h val="0.76918058539148126"/>
        </c:manualLayout>
      </c:layout>
      <c:pieChart>
        <c:varyColors val="1"/>
        <c:ser>
          <c:idx val="0"/>
          <c:order val="0"/>
          <c:tx>
            <c:strRef>
              <c:f>'REGISTROS DE OPERAÇÕES '!$Z$4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2E-8F4A-A518-3D19B834AA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2E-8F4A-A518-3D19B834AA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2E-8F4A-A518-3D19B834AA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12E-8F4A-A518-3D19B834AA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2E-8F4A-A518-3D19B834AAB2}"/>
              </c:ext>
            </c:extLst>
          </c:dPt>
          <c:dLbls>
            <c:dLbl>
              <c:idx val="0"/>
              <c:layout>
                <c:manualLayout>
                  <c:x val="4.6095950005256112E-2"/>
                  <c:y val="-0.124394974348289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1"/>
                      </a:solidFill>
                      <a:latin typeface="Montserrat SemiBold" pitchFamily="2" charset="77"/>
                      <a:ea typeface="+mn-ea"/>
                      <a:cs typeface="+mn-cs"/>
                    </a:defRPr>
                  </a:pPr>
                  <a:endParaRPr lang="en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2E-8F4A-A518-3D19B834AAB2}"/>
                </c:ext>
              </c:extLst>
            </c:dLbl>
            <c:dLbl>
              <c:idx val="1"/>
              <c:layout>
                <c:manualLayout>
                  <c:x val="-0.19849745873472799"/>
                  <c:y val="-7.24698477255255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2"/>
                      </a:solidFill>
                      <a:latin typeface="Montserrat SemiBold" pitchFamily="2" charset="77"/>
                      <a:ea typeface="+mn-ea"/>
                      <a:cs typeface="+mn-cs"/>
                    </a:defRPr>
                  </a:pPr>
                  <a:endParaRPr lang="en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2E-8F4A-A518-3D19B834AAB2}"/>
                </c:ext>
              </c:extLst>
            </c:dLbl>
            <c:dLbl>
              <c:idx val="2"/>
              <c:layout>
                <c:manualLayout>
                  <c:x val="-1.618775167547554E-2"/>
                  <c:y val="1.65026073570779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2"/>
                      </a:solidFill>
                      <a:latin typeface="Montserrat SemiBold" pitchFamily="2" charset="77"/>
                      <a:ea typeface="+mn-ea"/>
                      <a:cs typeface="+mn-cs"/>
                    </a:defRPr>
                  </a:pPr>
                  <a:endParaRPr lang="en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01841443830189"/>
                      <c:h val="7.8284529219940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12E-8F4A-A518-3D19B834AAB2}"/>
                </c:ext>
              </c:extLst>
            </c:dLbl>
            <c:dLbl>
              <c:idx val="3"/>
              <c:layout>
                <c:manualLayout>
                  <c:x val="-0.16744175816638224"/>
                  <c:y val="-6.09941619652163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2"/>
                      </a:solidFill>
                      <a:latin typeface="Montserrat SemiBold" pitchFamily="2" charset="77"/>
                      <a:ea typeface="+mn-ea"/>
                      <a:cs typeface="+mn-cs"/>
                    </a:defRPr>
                  </a:pPr>
                  <a:endParaRPr lang="en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2E-8F4A-A518-3D19B834AAB2}"/>
                </c:ext>
              </c:extLst>
            </c:dLbl>
            <c:dLbl>
              <c:idx val="4"/>
              <c:layout>
                <c:manualLayout>
                  <c:x val="-0.11929930118000896"/>
                  <c:y val="1.51837547491606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2"/>
                      </a:solidFill>
                      <a:latin typeface="Montserrat SemiBold" pitchFamily="2" charset="77"/>
                      <a:ea typeface="+mn-ea"/>
                      <a:cs typeface="+mn-cs"/>
                    </a:defRPr>
                  </a:pPr>
                  <a:endParaRPr lang="en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2E-8F4A-A518-3D19B834AA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chemeClr val="accent2"/>
                    </a:solidFill>
                    <a:latin typeface="Montserrat SemiBold" pitchFamily="2" charset="77"/>
                    <a:ea typeface="+mn-ea"/>
                    <a:cs typeface="+mn-cs"/>
                  </a:defRPr>
                </a:pPr>
                <a:endParaRPr lang="en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'REGISTROS DE OPERAÇÕES '!$Y$5:$Y$9</c:f>
              <c:strCache>
                <c:ptCount val="5"/>
                <c:pt idx="0">
                  <c:v>BTC/USDT</c:v>
                </c:pt>
                <c:pt idx="1">
                  <c:v>ETH/USDT</c:v>
                </c:pt>
                <c:pt idx="2">
                  <c:v>MEMX/USDT</c:v>
                </c:pt>
                <c:pt idx="3">
                  <c:v>SOL/USDT</c:v>
                </c:pt>
                <c:pt idx="4">
                  <c:v>IDX/USDT</c:v>
                </c:pt>
              </c:strCache>
            </c:strRef>
          </c:cat>
          <c:val>
            <c:numRef>
              <c:f>'REGISTROS DE OPERAÇÕES '!$Z$5:$Z$9</c:f>
              <c:numCache>
                <c:formatCode>General</c:formatCode>
                <c:ptCount val="5"/>
                <c:pt idx="0">
                  <c:v>29</c:v>
                </c:pt>
                <c:pt idx="1">
                  <c:v>23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8F4A-A518-3D19B834AAB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>
                <a:latin typeface="Montserrat ExtraBold" pitchFamily="2" charset="77"/>
              </a:rPr>
              <a:t>WIN</a:t>
            </a:r>
            <a:r>
              <a:rPr lang="en-US" sz="1600" b="1" i="0" baseline="0">
                <a:latin typeface="Montserrat ExtraBold" pitchFamily="2" charset="77"/>
              </a:rPr>
              <a:t> x LOSS POR ATIVO</a:t>
            </a:r>
          </a:p>
        </c:rich>
      </c:tx>
      <c:layout>
        <c:manualLayout>
          <c:xMode val="edge"/>
          <c:yMode val="edge"/>
          <c:x val="0.31313605862145422"/>
          <c:y val="3.4045178853224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9.8451513262662396E-2"/>
          <c:y val="0.1057986757133422"/>
          <c:w val="0.85051594840486111"/>
          <c:h val="0.7662207854069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'REGISTROS DE OPERAÇÕES '!$AD$4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'REGISTROS DE OPERAÇÕES '!$AC$5:$AC$9</c:f>
              <c:strCache>
                <c:ptCount val="5"/>
                <c:pt idx="0">
                  <c:v>BTC/USDT</c:v>
                </c:pt>
                <c:pt idx="1">
                  <c:v>ETH/USDT</c:v>
                </c:pt>
                <c:pt idx="2">
                  <c:v>SOL/USDT</c:v>
                </c:pt>
                <c:pt idx="3">
                  <c:v>MEMX/USDT</c:v>
                </c:pt>
                <c:pt idx="4">
                  <c:v>IDX/USDT</c:v>
                </c:pt>
              </c:strCache>
            </c:strRef>
          </c:cat>
          <c:val>
            <c:numRef>
              <c:f>'REGISTROS DE OPERAÇÕES '!$AD$5:$AD$9</c:f>
              <c:numCache>
                <c:formatCode>General</c:formatCode>
                <c:ptCount val="5"/>
                <c:pt idx="0">
                  <c:v>17</c:v>
                </c:pt>
                <c:pt idx="1">
                  <c:v>14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4-F341-9D97-C269089AF581}"/>
            </c:ext>
          </c:extLst>
        </c:ser>
        <c:ser>
          <c:idx val="1"/>
          <c:order val="1"/>
          <c:tx>
            <c:strRef>
              <c:f>'REGISTROS DE OPERAÇÕES '!$AE$4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'REGISTROS DE OPERAÇÕES '!$AC$5:$AC$9</c:f>
              <c:strCache>
                <c:ptCount val="5"/>
                <c:pt idx="0">
                  <c:v>BTC/USDT</c:v>
                </c:pt>
                <c:pt idx="1">
                  <c:v>ETH/USDT</c:v>
                </c:pt>
                <c:pt idx="2">
                  <c:v>SOL/USDT</c:v>
                </c:pt>
                <c:pt idx="3">
                  <c:v>MEMX/USDT</c:v>
                </c:pt>
                <c:pt idx="4">
                  <c:v>IDX/USDT</c:v>
                </c:pt>
              </c:strCache>
            </c:strRef>
          </c:cat>
          <c:val>
            <c:numRef>
              <c:f>'REGISTROS DE OPERAÇÕES '!$AE$5:$AE$9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4-F341-9D97-C269089A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4960"/>
        <c:axId val="213158752"/>
      </c:barChart>
      <c:catAx>
        <c:axId val="2136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en-BR"/>
          </a:p>
        </c:txPr>
        <c:crossAx val="213158752"/>
        <c:crosses val="autoZero"/>
        <c:auto val="1"/>
        <c:lblAlgn val="ctr"/>
        <c:lblOffset val="100"/>
        <c:noMultiLvlLbl val="0"/>
      </c:catAx>
      <c:valAx>
        <c:axId val="2131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SemiBold" pitchFamily="2" charset="77"/>
                <a:ea typeface="+mn-ea"/>
                <a:cs typeface="+mn-cs"/>
              </a:defRPr>
            </a:pPr>
            <a:endParaRPr lang="en-BR"/>
          </a:p>
        </c:txPr>
        <c:crossAx val="2136249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05142267368184"/>
          <c:y val="0.94358417733215683"/>
          <c:w val="0.27401256966862514"/>
          <c:h val="3.9247420540164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 SemiBold" pitchFamily="2" charset="77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ERROS POR CRITÉRIOS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pt-BR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" panose="020F0502020204030204" pitchFamily="34" charset="0"/>
            </a:rPr>
            <a:t>ERROS POR CRITÉRIOS </a:t>
          </a:r>
        </a:p>
      </cx:txPr>
    </cx:title>
    <cx:plotArea>
      <cx:plotAreaRegion>
        <cx:series layoutId="treemap" uniqueId="{2D588F0C-C9F1-1449-BBFD-533FB4C39BFA}" formatIdx="0">
          <cx:tx>
            <cx:txData>
              <cx:f>_xlchart.v1.1</cx:f>
              <cx:v>Quant. Não </cx:v>
            </cx:txData>
          </cx:tx>
          <cx:dataPt idx="0"/>
          <cx:dataPt idx="3"/>
          <cx:dataPt idx="4"/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 b="1" i="0">
                    <a:latin typeface="Montserrat" pitchFamily="2" charset="77"/>
                    <a:ea typeface="Montserrat" pitchFamily="2" charset="77"/>
                    <a:cs typeface="Montserrat" pitchFamily="2" charset="77"/>
                  </a:defRPr>
                </a:pPr>
                <a:endParaRPr lang="pt-BR" sz="2000" b="1" i="0" u="none" strike="noStrike" baseline="0">
                  <a:solidFill>
                    <a:sysClr val="window" lastClr="FFFFFF"/>
                  </a:solidFill>
                  <a:latin typeface="Montserrat" pitchFamily="2" charset="77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microsoft.com/office/2014/relationships/chartEx" Target="../charts/chartEx1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3</xdr:row>
      <xdr:rowOff>33573</xdr:rowOff>
    </xdr:from>
    <xdr:to>
      <xdr:col>46</xdr:col>
      <xdr:colOff>14110</xdr:colOff>
      <xdr:row>24</xdr:row>
      <xdr:rowOff>116263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B68AC-D23E-99B8-F67B-5E2125571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</xdr:colOff>
      <xdr:row>24</xdr:row>
      <xdr:rowOff>128410</xdr:rowOff>
    </xdr:from>
    <xdr:to>
      <xdr:col>46</xdr:col>
      <xdr:colOff>14111</xdr:colOff>
      <xdr:row>47</xdr:row>
      <xdr:rowOff>14110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7E1D3A4-D200-EBB1-5AFA-708538287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677332</xdr:colOff>
      <xdr:row>47</xdr:row>
      <xdr:rowOff>32455</xdr:rowOff>
    </xdr:from>
    <xdr:to>
      <xdr:col>46</xdr:col>
      <xdr:colOff>28222</xdr:colOff>
      <xdr:row>73</xdr:row>
      <xdr:rowOff>28221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81B27-4F74-D00E-D432-C7AD9656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3</xdr:row>
      <xdr:rowOff>33573</xdr:rowOff>
    </xdr:from>
    <xdr:to>
      <xdr:col>46</xdr:col>
      <xdr:colOff>14110</xdr:colOff>
      <xdr:row>24</xdr:row>
      <xdr:rowOff>116263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3D8EF-3E5F-8E4B-A32A-05EE97AD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</xdr:colOff>
      <xdr:row>24</xdr:row>
      <xdr:rowOff>128410</xdr:rowOff>
    </xdr:from>
    <xdr:to>
      <xdr:col>46</xdr:col>
      <xdr:colOff>14111</xdr:colOff>
      <xdr:row>46</xdr:row>
      <xdr:rowOff>14110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7CE3D16-5649-AB4A-976F-1E9EDE0A2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812800</xdr:colOff>
      <xdr:row>46</xdr:row>
      <xdr:rowOff>32455</xdr:rowOff>
    </xdr:from>
    <xdr:to>
      <xdr:col>46</xdr:col>
      <xdr:colOff>28222</xdr:colOff>
      <xdr:row>72</xdr:row>
      <xdr:rowOff>28221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67E5FB-6CAA-0D4D-9DD9-4C8B2F91E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370772</xdr:colOff>
      <xdr:row>11</xdr:row>
      <xdr:rowOff>307582</xdr:rowOff>
    </xdr:from>
    <xdr:to>
      <xdr:col>26</xdr:col>
      <xdr:colOff>435429</xdr:colOff>
      <xdr:row>29</xdr:row>
      <xdr:rowOff>145144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703EF1-2AB9-8080-4CB4-F744F69C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366890</xdr:colOff>
      <xdr:row>29</xdr:row>
      <xdr:rowOff>201082</xdr:rowOff>
    </xdr:from>
    <xdr:to>
      <xdr:col>32</xdr:col>
      <xdr:colOff>476250</xdr:colOff>
      <xdr:row>47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57263A-5A72-7E20-8989-ACFED1B7471C}"/>
            </a:ext>
            <a:ext uri="{147F2762-F138-4A5C-976F-8EAC2B608ADB}">
              <a16:predDERef xmlns:a16="http://schemas.microsoft.com/office/drawing/2014/main" pred="{BE703EF1-2AB9-8080-4CB4-F744F69C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381000</xdr:colOff>
      <xdr:row>47</xdr:row>
      <xdr:rowOff>216254</xdr:rowOff>
    </xdr:from>
    <xdr:to>
      <xdr:col>42</xdr:col>
      <xdr:colOff>1955800</xdr:colOff>
      <xdr:row>81</xdr:row>
      <xdr:rowOff>110336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389E869-4F82-C0F9-46B2-67756C392D6C}"/>
                </a:ext>
                <a:ext uri="{147F2762-F138-4A5C-976F-8EAC2B608ADB}">
                  <a16:predDERef xmlns:a16="http://schemas.microsoft.com/office/drawing/2014/main" pred="{8557263A-5A72-7E20-8989-ACFED1B747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41500" y="21374454"/>
              <a:ext cx="26936700" cy="152864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471715</xdr:colOff>
      <xdr:row>11</xdr:row>
      <xdr:rowOff>314981</xdr:rowOff>
    </xdr:from>
    <xdr:to>
      <xdr:col>31</xdr:col>
      <xdr:colOff>72572</xdr:colOff>
      <xdr:row>29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4856D-39BC-F3E6-56FA-DB3DC63F4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108857</xdr:colOff>
      <xdr:row>11</xdr:row>
      <xdr:rowOff>309573</xdr:rowOff>
    </xdr:from>
    <xdr:to>
      <xdr:col>37</xdr:col>
      <xdr:colOff>1233713</xdr:colOff>
      <xdr:row>29</xdr:row>
      <xdr:rowOff>181428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B72BB-68E8-9E48-EA60-1EC6B6C1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1285072</xdr:colOff>
      <xdr:row>11</xdr:row>
      <xdr:rowOff>325627</xdr:rowOff>
    </xdr:from>
    <xdr:to>
      <xdr:col>42</xdr:col>
      <xdr:colOff>1941284</xdr:colOff>
      <xdr:row>29</xdr:row>
      <xdr:rowOff>164187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7E6C5ED-8610-F4BE-0487-C4BC06ABE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1580950</xdr:colOff>
      <xdr:row>11</xdr:row>
      <xdr:rowOff>336147</xdr:rowOff>
    </xdr:from>
    <xdr:to>
      <xdr:col>53</xdr:col>
      <xdr:colOff>621394</xdr:colOff>
      <xdr:row>29</xdr:row>
      <xdr:rowOff>167610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B37D9D3-301D-9B4C-5DD5-9999C28B4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1990675</xdr:colOff>
      <xdr:row>11</xdr:row>
      <xdr:rowOff>339740</xdr:rowOff>
    </xdr:from>
    <xdr:to>
      <xdr:col>48</xdr:col>
      <xdr:colOff>1524000</xdr:colOff>
      <xdr:row>29</xdr:row>
      <xdr:rowOff>163286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E0A1338-AD16-A340-F5C5-E931FC72A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1552575</xdr:colOff>
      <xdr:row>47</xdr:row>
      <xdr:rowOff>228598</xdr:rowOff>
    </xdr:from>
    <xdr:to>
      <xdr:col>53</xdr:col>
      <xdr:colOff>635000</xdr:colOff>
      <xdr:row>81</xdr:row>
      <xdr:rowOff>50799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64DA31-90CF-2D53-07F5-58837047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1981199</xdr:colOff>
      <xdr:row>47</xdr:row>
      <xdr:rowOff>228598</xdr:rowOff>
    </xdr:from>
    <xdr:to>
      <xdr:col>48</xdr:col>
      <xdr:colOff>1498600</xdr:colOff>
      <xdr:row>81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9F0D96-763F-05AE-9148-17C3E62D5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1995714</xdr:colOff>
      <xdr:row>29</xdr:row>
      <xdr:rowOff>219529</xdr:rowOff>
    </xdr:from>
    <xdr:to>
      <xdr:col>48</xdr:col>
      <xdr:colOff>1505857</xdr:colOff>
      <xdr:row>47</xdr:row>
      <xdr:rowOff>217715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652F488-21A2-1706-D22C-9AB2930FB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1578429</xdr:colOff>
      <xdr:row>29</xdr:row>
      <xdr:rowOff>209715</xdr:rowOff>
    </xdr:from>
    <xdr:to>
      <xdr:col>53</xdr:col>
      <xdr:colOff>635000</xdr:colOff>
      <xdr:row>47</xdr:row>
      <xdr:rowOff>232184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63A01CD-11E5-BC25-93C3-4F05A4E7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539750</xdr:colOff>
      <xdr:row>29</xdr:row>
      <xdr:rowOff>222250</xdr:rowOff>
    </xdr:from>
    <xdr:to>
      <xdr:col>42</xdr:col>
      <xdr:colOff>1936750</xdr:colOff>
      <xdr:row>47</xdr:row>
      <xdr:rowOff>201083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A76BCF-E051-86E7-97F1-4C1DB861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13417</xdr:colOff>
      <xdr:row>0</xdr:row>
      <xdr:rowOff>5599</xdr:rowOff>
    </xdr:from>
    <xdr:to>
      <xdr:col>17</xdr:col>
      <xdr:colOff>0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09746-72DB-5AB3-9A5D-C74A49C46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17720</xdr:colOff>
      <xdr:row>0</xdr:row>
      <xdr:rowOff>0</xdr:rowOff>
    </xdr:from>
    <xdr:to>
      <xdr:col>34</xdr:col>
      <xdr:colOff>35864</xdr:colOff>
      <xdr:row>27</xdr:row>
      <xdr:rowOff>4218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5D67C99-C6EE-32B8-C6EB-92E29400E923}"/>
            </a:ext>
            <a:ext uri="{147F2762-F138-4A5C-976F-8EAC2B608ADB}">
              <a16:predDERef xmlns:a16="http://schemas.microsoft.com/office/drawing/2014/main" pred="{C0A09746-72DB-5AB3-9A5D-C74A49C46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179614</xdr:rowOff>
    </xdr:from>
    <xdr:to>
      <xdr:col>17</xdr:col>
      <xdr:colOff>13606</xdr:colOff>
      <xdr:row>53</xdr:row>
      <xdr:rowOff>166007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1D4C3E6B-D9B8-82A8-7B1F-68715F96D3F3}"/>
            </a:ext>
            <a:ext uri="{147F2762-F138-4A5C-976F-8EAC2B608ADB}">
              <a16:predDERef xmlns:a16="http://schemas.microsoft.com/office/drawing/2014/main" pred="{05D67C99-C6EE-32B8-C6EB-92E29400E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16329</xdr:colOff>
      <xdr:row>27</xdr:row>
      <xdr:rowOff>10885</xdr:rowOff>
    </xdr:from>
    <xdr:to>
      <xdr:col>34</xdr:col>
      <xdr:colOff>32657</xdr:colOff>
      <xdr:row>53</xdr:row>
      <xdr:rowOff>163284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C3BF0477-4386-625C-AD60-891E93937D24}"/>
            </a:ext>
            <a:ext uri="{147F2762-F138-4A5C-976F-8EAC2B608ADB}">
              <a16:predDERef xmlns:a16="http://schemas.microsoft.com/office/drawing/2014/main" pred="{1D4C3E6B-D9B8-82A8-7B1F-68715F96D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12016</xdr:colOff>
      <xdr:row>53</xdr:row>
      <xdr:rowOff>181010</xdr:rowOff>
    </xdr:from>
    <xdr:to>
      <xdr:col>17</xdr:col>
      <xdr:colOff>28222</xdr:colOff>
      <xdr:row>80</xdr:row>
      <xdr:rowOff>155221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43A77E4B-A07C-3FCF-1328-61B38212B7E2}"/>
            </a:ext>
            <a:ext uri="{147F2762-F138-4A5C-976F-8EAC2B608ADB}">
              <a16:predDERef xmlns:a16="http://schemas.microsoft.com/office/drawing/2014/main" pred="{C3BF0477-4386-625C-AD60-891E93937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47479</xdr:colOff>
      <xdr:row>53</xdr:row>
      <xdr:rowOff>163940</xdr:rowOff>
    </xdr:from>
    <xdr:to>
      <xdr:col>34</xdr:col>
      <xdr:colOff>31750</xdr:colOff>
      <xdr:row>80</xdr:row>
      <xdr:rowOff>158750</xdr:rowOff>
    </xdr:to>
    <xdr:graphicFrame macro="">
      <xdr:nvGraphicFramePr>
        <xdr:cNvPr id="8" name="Gráfico 1">
          <a:extLst>
            <a:ext uri="{FF2B5EF4-FFF2-40B4-BE49-F238E27FC236}">
              <a16:creationId xmlns:a16="http://schemas.microsoft.com/office/drawing/2014/main" id="{1AF1C0C8-0269-5CE0-8404-D930CE774C26}"/>
            </a:ext>
            <a:ext uri="{147F2762-F138-4A5C-976F-8EAC2B608ADB}">
              <a16:predDERef xmlns:a16="http://schemas.microsoft.com/office/drawing/2014/main" pred="{313AB57D-DE3C-D4D9-C10E-BDBF7B1B5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</xdr:colOff>
      <xdr:row>0</xdr:row>
      <xdr:rowOff>0</xdr:rowOff>
    </xdr:from>
    <xdr:to>
      <xdr:col>17</xdr:col>
      <xdr:colOff>15240</xdr:colOff>
      <xdr:row>27</xdr:row>
      <xdr:rowOff>15240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5BED0285-A133-E6FB-45F0-01923CF2B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17318</xdr:colOff>
      <xdr:row>0</xdr:row>
      <xdr:rowOff>17318</xdr:rowOff>
    </xdr:from>
    <xdr:to>
      <xdr:col>34</xdr:col>
      <xdr:colOff>17318</xdr:colOff>
      <xdr:row>27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9A5214-BA60-D7BE-AEDA-219FDD207675}"/>
            </a:ext>
            <a:ext uri="{147F2762-F138-4A5C-976F-8EAC2B608ADB}">
              <a16:predDERef xmlns:a16="http://schemas.microsoft.com/office/drawing/2014/main" pred="{5BED0285-A133-E6FB-45F0-01923CF2B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10277</xdr:colOff>
      <xdr:row>0</xdr:row>
      <xdr:rowOff>2200</xdr:rowOff>
    </xdr:from>
    <xdr:to>
      <xdr:col>17</xdr:col>
      <xdr:colOff>0</xdr:colOff>
      <xdr:row>27</xdr:row>
      <xdr:rowOff>1</xdr:rowOff>
    </xdr:to>
    <xdr:graphicFrame macro="">
      <xdr:nvGraphicFramePr>
        <xdr:cNvPr id="2" name="Gráfico 5">
          <a:extLst>
            <a:ext uri="{FF2B5EF4-FFF2-40B4-BE49-F238E27FC236}">
              <a16:creationId xmlns:a16="http://schemas.microsoft.com/office/drawing/2014/main" id="{D568352E-48C9-2759-9257-DC83CE49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21167</xdr:colOff>
      <xdr:row>0</xdr:row>
      <xdr:rowOff>0</xdr:rowOff>
    </xdr:from>
    <xdr:to>
      <xdr:col>33</xdr:col>
      <xdr:colOff>606470</xdr:colOff>
      <xdr:row>27</xdr:row>
      <xdr:rowOff>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91A0F2B2-5A2F-11F3-5D4D-7E4BD8E7DDD7}"/>
            </a:ext>
            <a:ext uri="{147F2762-F138-4A5C-976F-8EAC2B608ADB}">
              <a16:predDERef xmlns:a16="http://schemas.microsoft.com/office/drawing/2014/main" pred="{D568352E-48C9-2759-9257-DC83CE49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21769</xdr:colOff>
      <xdr:row>27</xdr:row>
      <xdr:rowOff>1</xdr:rowOff>
    </xdr:from>
    <xdr:to>
      <xdr:col>17</xdr:col>
      <xdr:colOff>29307</xdr:colOff>
      <xdr:row>54</xdr:row>
      <xdr:rowOff>1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9A95CC5B-BE93-2866-70CA-213C599D6DF5}"/>
            </a:ext>
            <a:ext uri="{147F2762-F138-4A5C-976F-8EAC2B608ADB}">
              <a16:predDERef xmlns:a16="http://schemas.microsoft.com/office/drawing/2014/main" pred="{91A0F2B2-5A2F-11F3-5D4D-7E4BD8E7D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55093</xdr:rowOff>
    </xdr:from>
    <xdr:to>
      <xdr:col>16</xdr:col>
      <xdr:colOff>619918</xdr:colOff>
      <xdr:row>81</xdr:row>
      <xdr:rowOff>58797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FCE99F6-9C80-682D-95F7-960CA64E7E57}"/>
            </a:ext>
            <a:ext uri="{147F2762-F138-4A5C-976F-8EAC2B608ADB}">
              <a16:predDERef xmlns:a16="http://schemas.microsoft.com/office/drawing/2014/main" pred="{9A95CC5B-BE93-2866-70CA-213C599D6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6F1F4-4B15-BC43-85F9-A62BF53623E4}" name="Table4" displayName="Table4" ref="A3:T77" totalsRowShown="0" headerRowDxfId="106" dataDxfId="105">
  <autoFilter ref="A3:T77" xr:uid="{C326F1F4-4B15-BC43-85F9-A62BF53623E4}"/>
  <tableColumns count="20">
    <tableColumn id="1" xr3:uid="{A958098D-F5A1-C04C-9152-B3AC1A11CFD8}" name="Data" dataDxfId="104"/>
    <tableColumn id="19" xr3:uid="{7D2D106B-C321-8D48-B1FA-1174D0B3F6BC}" name="Tipo de Mercado" dataDxfId="103"/>
    <tableColumn id="2" xr3:uid="{E8DDF910-3F63-694C-9FD4-6961D2495BEE}" name="Par" dataDxfId="102"/>
    <tableColumn id="3" xr3:uid="{48DBA547-B9AE-374A-BD0B-C1F20C24345E}" name="Horário" dataDxfId="101"/>
    <tableColumn id="14" xr3:uid="{0D50EA62-E169-C847-88BC-3190FB8188C4}" name="Nivel da Gestão" dataDxfId="100"/>
    <tableColumn id="17" xr3:uid="{39054C26-094B-2B45-A604-CD394EC75730}" name="Ciclo do dia" dataDxfId="99"/>
    <tableColumn id="18" xr3:uid="{F629AFD0-703F-D54D-9BA6-94C31CF6EACC}" name="Tipo de Estratégia" dataDxfId="98"/>
    <tableColumn id="13" xr3:uid="{9FDCF97D-944A-B440-B10E-EC7093227F40}" name="Compra ou Venda" dataDxfId="97"/>
    <tableColumn id="4" xr3:uid="{AEE76BA2-E28D-E945-BD52-459C3D848C27}" name="Resultado (Win/Loss)" dataDxfId="96"/>
    <tableColumn id="5" xr3:uid="{2098F6E9-E964-244D-AD08-A316A526EDDD}" name="MACD saiu da regiao oposta?" dataDxfId="95"/>
    <tableColumn id="6" xr3:uid="{B8E18F77-475B-9A4E-B35C-F6A13802F2B6}" name="EMA11 cruzou EMA22?" dataDxfId="94"/>
    <tableColumn id="7" xr3:uid="{2E891929-9836-7540-91D9-07F9E0835350}" name="Preço descolando das EMAs após cruzamento" dataDxfId="93"/>
    <tableColumn id="8" xr3:uid="{D931BDCE-C0A4-394C-A6F6-31514598E8CF}" name="Gatiho: MACD fez o cruzamento?" dataDxfId="92"/>
    <tableColumn id="9" xr3:uid="{718B4511-2B5B-A649-9E21-BACF996EBA73}" name="Ângulo dos topos do MACD mostra força?" dataDxfId="91"/>
    <tableColumn id="10" xr3:uid="{DDD3C103-8BFE-C34D-A1B9-C7BCB4B0E370}" name="Topo/Fundo atual do MACD ≥ anterior?" dataDxfId="90"/>
    <tableColumn id="11" xr3:uid="{5A8F8FBD-0806-9E45-976C-F750AF01D3A1}" name="Resistência recente rompida ou inexistente?" dataDxfId="89"/>
    <tableColumn id="16" xr3:uid="{1ADF1B83-800A-1A42-B54A-AE69D75E7AD0}" name="Considerei divergencias entre Volume e Preço?" dataDxfId="88"/>
    <tableColumn id="12" xr3:uid="{4EAFFFC9-775F-9E4B-B625-80DC0CFF3191}" name="BTC com estrutura semelhante?" dataDxfId="87"/>
    <tableColumn id="20" xr3:uid="{842B5F4B-4C3A-A44A-8A66-1AD869629701}" name="Quantidade de Erros de Critérios" dataDxfId="86">
      <calculatedColumnFormula>COUNTIF(Table4[[#This Row],[MACD saiu da regiao oposta?]:[BTC com estrutura semelhante?]],"Não")</calculatedColumnFormula>
    </tableColumn>
    <tableColumn id="15" xr3:uid="{80BA9D80-399B-5D4B-B7FF-70861129B041}" name="Comentários" dataDxfId="8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78F3E22-0844-B840-B122-677721D658F4}" name="Tabela12" displayName="Tabela12" ref="BB4:BE9" totalsRowShown="0" headerRowDxfId="25" headerRowBorderDxfId="24" tableBorderDxfId="23" totalsRowBorderDxfId="22">
  <autoFilter ref="BB4:BE9" xr:uid="{E78F3E22-0844-B840-B122-677721D658F4}"/>
  <tableColumns count="4">
    <tableColumn id="1" xr3:uid="{6DDCE6D5-5B77-9F45-96DC-9969A66FDF46}" name="Tipo de mercado" dataDxfId="21"/>
    <tableColumn id="2" xr3:uid="{ACE25C5F-56CB-9E47-85A5-3FBC444CBF58}" name="Mercado Forte" dataDxfId="20"/>
    <tableColumn id="3" xr3:uid="{74A68964-ED7F-BE44-B066-09EDB856EF8C}" name="Mercado de Alta volatilidade" dataDxfId="19"/>
    <tableColumn id="4" xr3:uid="{7393ABA0-2DF0-7A4A-92FF-F148F33C4A72}" name="Mercado Confuso" dataDxfId="1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679A95-1F8E-3B4D-B5D3-F54455BB80C3}" name="Table2" displayName="Table2" ref="V4:X6" totalsRowShown="0" headerRowDxfId="84" dataDxfId="83">
  <autoFilter ref="V4:X6" xr:uid="{FE679A95-1F8E-3B4D-B5D3-F54455BB80C3}"/>
  <tableColumns count="3">
    <tableColumn id="1" xr3:uid="{AAEC475E-9858-3245-966F-420FC79F0E32}" name="Ciclo" dataDxfId="82"/>
    <tableColumn id="2" xr3:uid="{8542F87B-3F2B-B340-9F2A-7CB6EE510E95}" name="Win" dataDxfId="81">
      <calculatedColumnFormula>COUNTIFS(Table4[Ciclo do dia],"Ciclo 2",Table4[Resultado (Win/Loss)],"Win")</calculatedColumnFormula>
    </tableColumn>
    <tableColumn id="3" xr3:uid="{CA372073-6758-644C-949C-995BCF85151D}" name="Loss" dataDxfId="80">
      <calculatedColumnFormula>COUNTIFS(Table4[Ciclo do dia],"Ciclo 2",Table4[Resultado (Win/Loss)],"Loss")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41DCFC-E8E4-B043-8240-3BDFC7A4FE61}" name="Table5" displayName="Table5" ref="Y4:Z9" totalsRowShown="0" headerRowDxfId="79" dataDxfId="78">
  <autoFilter ref="Y4:Z9" xr:uid="{8141DCFC-E8E4-B043-8240-3BDFC7A4FE61}"/>
  <sortState xmlns:xlrd2="http://schemas.microsoft.com/office/spreadsheetml/2017/richdata2" ref="Y5:Z9">
    <sortCondition descending="1" ref="Z4:Z9"/>
  </sortState>
  <tableColumns count="2">
    <tableColumn id="1" xr3:uid="{0410D038-BB29-B04F-82A1-D52AB4762EA3}" name="Ativo" dataDxfId="77"/>
    <tableColumn id="3" xr3:uid="{019D52A6-CDB6-F04B-8A02-100303089093}" name="Quantidade" dataDxfId="76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FDE51F-1A52-1F4D-BD78-D176721F81DF}" name="Tabela3" displayName="Tabela3" ref="AA4:AB11" totalsRowShown="0" headerRowDxfId="75" dataDxfId="74">
  <autoFilter ref="AA4:AB11" xr:uid="{97FDE51F-1A52-1F4D-BD78-D176721F81DF}"/>
  <sortState xmlns:xlrd2="http://schemas.microsoft.com/office/spreadsheetml/2017/richdata2" ref="AA5:AB11">
    <sortCondition descending="1" ref="AB4:AB11"/>
  </sortState>
  <tableColumns count="2">
    <tableColumn id="1" xr3:uid="{0795CCDA-E0FB-AC44-8F48-789C1C7FF705}" name="Critério " dataDxfId="73"/>
    <tableColumn id="2" xr3:uid="{98EBA3C9-C339-7D4C-AF01-665D8A48BA77}" name="Quant. Não " dataDxfId="7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A24E79-63D9-D146-BF68-C14555FCB63A}" name="Table6" displayName="Table6" ref="AC4:AG9" totalsRowShown="0" headerRowDxfId="71" dataDxfId="70">
  <autoFilter ref="AC4:AG9" xr:uid="{91A24E79-63D9-D146-BF68-C14555FCB63A}"/>
  <sortState xmlns:xlrd2="http://schemas.microsoft.com/office/spreadsheetml/2017/richdata2" ref="AC5:AG9">
    <sortCondition descending="1" ref="AD4:AD9"/>
  </sortState>
  <tableColumns count="5">
    <tableColumn id="1" xr3:uid="{9D34FE08-CA86-F947-98DB-43807E16A4F2}" name="Ativos" dataDxfId="69"/>
    <tableColumn id="2" xr3:uid="{73E87322-77BD-A84E-9A9A-4443C208CFBF}" name="Wins" dataDxfId="68"/>
    <tableColumn id="3" xr3:uid="{FDF0B0C7-07B3-3B45-A00B-E365CDB21C92}" name="Loss" dataDxfId="67"/>
    <tableColumn id="5" xr3:uid="{2EF1F91C-AE49-7440-8C54-B29730C32301}" name="Total" dataDxfId="66">
      <calculatedColumnFormula>SUM(Table6[[#This Row],[Wins]:[Loss]])</calculatedColumnFormula>
    </tableColumn>
    <tableColumn id="4" xr3:uid="{E8391330-0601-B346-97D5-85C26119D0F5}" name="Assertividade" dataDxfId="65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2AFDD8-0FEA-9F4A-BA7A-E0092D232188}" name="Tabela6" displayName="Tabela6" ref="AH4:AL8" totalsRowShown="0" headerRowDxfId="64" dataDxfId="62" headerRowBorderDxfId="63" tableBorderDxfId="61" totalsRowBorderDxfId="60">
  <autoFilter ref="AH4:AL8" xr:uid="{5B2AFDD8-0FEA-9F4A-BA7A-E0092D232188}"/>
  <sortState xmlns:xlrd2="http://schemas.microsoft.com/office/spreadsheetml/2017/richdata2" ref="AH5:AL8">
    <sortCondition descending="1" ref="AI4:AI8"/>
  </sortState>
  <tableColumns count="5">
    <tableColumn id="1" xr3:uid="{A64A0E2F-4766-FA48-A7B6-05AC593E3395}" name="Tipo de Estratégia" dataDxfId="59"/>
    <tableColumn id="2" xr3:uid="{C8B05401-FA5C-8141-9165-F20F6C2DAE88}" name="Wins" dataDxfId="58">
      <calculatedColumnFormula>COUNTIFS(Table4[Tipo de Estratégia],"Bearish Clássico",Table4[Resultado (Win/Loss)],"Win")</calculatedColumnFormula>
    </tableColumn>
    <tableColumn id="3" xr3:uid="{4C4ACBC8-3DAC-A640-BC45-50B3DA53BE65}" name="Loss" dataDxfId="57"/>
    <tableColumn id="4" xr3:uid="{B14B637A-A232-6D4A-A4A9-ACF886050D86}" name="Total" dataDxfId="56">
      <calculatedColumnFormula>SUM(Tabela6[[#This Row],[Wins]:[Loss]])</calculatedColumnFormula>
    </tableColumn>
    <tableColumn id="5" xr3:uid="{B243B7C0-55F6-5648-99A0-E7CC49E72117}" name="Assertividade" dataDxfId="55">
      <calculatedColumnFormula>Tabela6[[#This Row],[Wins]]/Tabela6[[#This Row],[Total]]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B992D1-FD35-4046-BDF8-34F46F190BA7}" name="Tabela7" displayName="Tabela7" ref="AM4:AP9" totalsRowShown="0" headerRowDxfId="54" dataDxfId="52" headerRowBorderDxfId="53" tableBorderDxfId="51" totalsRowBorderDxfId="50">
  <autoFilter ref="AM4:AP9" xr:uid="{03B992D1-FD35-4046-BDF8-34F46F190BA7}"/>
  <tableColumns count="4">
    <tableColumn id="1" xr3:uid="{11C3894F-B7D5-BE40-8FD7-4F4AA8240742}" name="Quantidade de erros" dataDxfId="49"/>
    <tableColumn id="2" xr3:uid="{433092CA-4CAB-0E4D-A291-BA32768E960E}" name="Wins" dataDxfId="48">
      <calculatedColumnFormula>COUNTIFS(Table4[Quantidade de Erros de Critérios],0,Table4[Resultado (Win/Loss)],"Win")</calculatedColumnFormula>
    </tableColumn>
    <tableColumn id="3" xr3:uid="{914B576D-1AF5-7247-B6CF-406A4252B53F}" name="Loss" dataDxfId="47">
      <calculatedColumnFormula>COUNTIFS(Table4[Quantidade de Erros de Critérios],0,Table4[Resultado (Win/Loss)],"Loss")</calculatedColumnFormula>
    </tableColumn>
    <tableColumn id="4" xr3:uid="{5EFA45DD-08C8-AB48-81A1-847C45813C65}" name="Assertividade" dataDxfId="46">
      <calculatedColumnFormula>Tabela7[[#This Row],[Wins]]/SUM(Tabela7[[#This Row],[Wins]],Tabela7[[#This Row],[Loss]])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3B4861-E539-614C-AD81-3C3E0717750D}" name="Tabela10" displayName="Tabela10" ref="AQ4:AW7" totalsRowShown="0" headerRowDxfId="45" dataDxfId="43" headerRowBorderDxfId="44" tableBorderDxfId="42" totalsRowBorderDxfId="41">
  <autoFilter ref="AQ4:AW7" xr:uid="{8C3B4861-E539-614C-AD81-3C3E0717750D}"/>
  <tableColumns count="7">
    <tableColumn id="1" xr3:uid="{C3F6FB8A-50C2-5E47-8D39-F1B74570AF0E}" name="Tipo de mercado" dataDxfId="40"/>
    <tableColumn id="2" xr3:uid="{B5D3CF24-5CB7-0D42-831F-51ABE974FDCB}" name="Zero (Setup ideal)" dataDxfId="39"/>
    <tableColumn id="3" xr3:uid="{D47DA8B8-0C21-594D-AFB6-A8EC532A9B97}" name="Um Erro" dataDxfId="38"/>
    <tableColumn id="4" xr3:uid="{8530ECC8-DEAC-414F-99B5-7E3BEDE93747}" name="Dois Erros" dataDxfId="37"/>
    <tableColumn id="5" xr3:uid="{8AD5B64E-A2E8-4B43-838C-EA4CE4951A59}" name="Três Erros" dataDxfId="36"/>
    <tableColumn id="6" xr3:uid="{E3159E2A-0BFA-0A49-BCBE-6C920EF10D30}" name="Quatro ou Mais" dataDxfId="35"/>
    <tableColumn id="7" xr3:uid="{A72A4CC6-A100-BC49-B6C9-D870C81FA274}" name="Total de operações" dataDxfId="34">
      <calculatedColumnFormula>SUM(Tabela10[[#This Row],[Zero (Setup ideal)]:[Quatro ou Mais]])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B6B302D-FF3D-4E48-92C1-8BAA12DBD35D}" name="Tabela11" displayName="Tabela11" ref="AX4:BA7" totalsRowShown="0" headerRowDxfId="33" headerRowBorderDxfId="32" tableBorderDxfId="31" totalsRowBorderDxfId="30">
  <autoFilter ref="AX4:BA7" xr:uid="{9B6B302D-FF3D-4E48-92C1-8BAA12DBD35D}"/>
  <sortState xmlns:xlrd2="http://schemas.microsoft.com/office/spreadsheetml/2017/richdata2" ref="AX5:BA7">
    <sortCondition descending="1" ref="AY4:AY7"/>
  </sortState>
  <tableColumns count="4">
    <tableColumn id="1" xr3:uid="{3B429326-F692-594C-A771-92B0169AF86E}" name="Tipo de mercado" dataDxfId="29"/>
    <tableColumn id="2" xr3:uid="{46C88D5A-1792-6F44-9056-F567CD89A988}" name="Win" dataDxfId="28"/>
    <tableColumn id="3" xr3:uid="{E35727C6-4CBE-884E-A6DC-183510279C51}" name="Loss" dataDxfId="27"/>
    <tableColumn id="4" xr3:uid="{4D7B07DA-8C38-8C4D-807B-F473653E8EE5}" name="Assertividade" dataDxfId="26">
      <calculatedColumnFormula>Tabela11[[#This Row],[Win]]/SUM(Tabela11[[#This Row],[Win]:[Loss]])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DCDD-13E0-425D-BD13-2FE2CABD9E10}">
  <sheetPr codeName="Planilha1"/>
  <dimension ref="A1:AA1009"/>
  <sheetViews>
    <sheetView showGridLines="0" zoomScale="73" workbookViewId="0">
      <pane ySplit="1" topLeftCell="A2" activePane="bottomLeft" state="frozen"/>
      <selection activeCell="C1" sqref="C1"/>
      <selection pane="bottomLeft" activeCell="F31" sqref="F31"/>
    </sheetView>
  </sheetViews>
  <sheetFormatPr baseColWidth="10" defaultColWidth="14" defaultRowHeight="15" customHeight="1"/>
  <cols>
    <col min="1" max="1" width="8.1640625" bestFit="1" customWidth="1"/>
    <col min="2" max="2" width="6.6640625" customWidth="1"/>
    <col min="3" max="3" width="7.5" customWidth="1"/>
    <col min="4" max="4" width="16.6640625" bestFit="1" customWidth="1"/>
    <col min="5" max="5" width="14.33203125" bestFit="1" customWidth="1"/>
    <col min="6" max="6" width="17.6640625" bestFit="1" customWidth="1"/>
    <col min="7" max="7" width="19.33203125" customWidth="1"/>
    <col min="8" max="10" width="13.83203125" customWidth="1"/>
    <col min="11" max="11" width="7.83203125" customWidth="1"/>
    <col min="12" max="12" width="15.1640625" customWidth="1"/>
    <col min="13" max="13" width="16" bestFit="1" customWidth="1"/>
    <col min="14" max="14" width="11.33203125" customWidth="1"/>
    <col min="15" max="15" width="11.1640625" customWidth="1"/>
    <col min="16" max="16" width="11.6640625" customWidth="1"/>
    <col min="17" max="17" width="15" customWidth="1"/>
    <col min="18" max="18" width="8.83203125" customWidth="1"/>
    <col min="19" max="27" width="8.5" customWidth="1"/>
  </cols>
  <sheetData>
    <row r="1" spans="1:27" ht="30.5" customHeight="1" thickBot="1">
      <c r="A1" s="19" t="s">
        <v>0</v>
      </c>
      <c r="B1" s="20" t="s">
        <v>1</v>
      </c>
      <c r="C1" s="21" t="s">
        <v>2</v>
      </c>
      <c r="D1" s="22" t="s">
        <v>13</v>
      </c>
      <c r="E1" s="23" t="s">
        <v>12</v>
      </c>
      <c r="F1" s="23" t="s">
        <v>14</v>
      </c>
      <c r="G1" s="24" t="s">
        <v>15</v>
      </c>
      <c r="H1" s="25" t="s">
        <v>16</v>
      </c>
      <c r="I1" s="26" t="s">
        <v>3</v>
      </c>
      <c r="J1" s="34" t="s">
        <v>4</v>
      </c>
      <c r="K1" s="307" t="s">
        <v>17</v>
      </c>
      <c r="L1" s="308"/>
      <c r="M1" s="33" t="s">
        <v>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2.75" customHeight="1" thickBot="1">
      <c r="A2" s="32">
        <v>45594</v>
      </c>
      <c r="B2" s="10"/>
      <c r="C2" s="11"/>
      <c r="D2" s="18">
        <v>5751</v>
      </c>
      <c r="E2" s="17">
        <v>0</v>
      </c>
      <c r="F2" s="17">
        <v>0</v>
      </c>
      <c r="G2" s="28">
        <f>D2+E2</f>
        <v>5751</v>
      </c>
      <c r="H2" s="29">
        <f t="shared" ref="H2:H34" si="0">E2/D2</f>
        <v>0</v>
      </c>
      <c r="I2" s="5">
        <f>D2*M2</f>
        <v>575.1</v>
      </c>
      <c r="J2" s="7">
        <f>D2*K2</f>
        <v>287.55</v>
      </c>
      <c r="K2" s="309">
        <v>0.05</v>
      </c>
      <c r="L2" s="310"/>
      <c r="M2" s="313">
        <v>0.1</v>
      </c>
      <c r="N2" s="3"/>
      <c r="O2" s="3"/>
      <c r="P2" s="315"/>
      <c r="Q2" s="306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22.75" customHeight="1" thickBot="1">
      <c r="A3" s="32">
        <v>45595</v>
      </c>
      <c r="B3" s="12" t="s">
        <v>10</v>
      </c>
      <c r="C3" s="13"/>
      <c r="D3" s="18">
        <f>G2</f>
        <v>5751</v>
      </c>
      <c r="E3" s="17">
        <v>54.67</v>
      </c>
      <c r="F3" s="17">
        <v>0</v>
      </c>
      <c r="G3" s="28">
        <f>SUM(D3,E3)</f>
        <v>5805.67</v>
      </c>
      <c r="H3" s="29">
        <f t="shared" si="0"/>
        <v>9.5061728395061731E-3</v>
      </c>
      <c r="I3" s="5">
        <f>D3*M2</f>
        <v>575.1</v>
      </c>
      <c r="J3" s="7">
        <f>D3*K2</f>
        <v>287.55</v>
      </c>
      <c r="K3" s="311"/>
      <c r="L3" s="312"/>
      <c r="M3" s="314"/>
      <c r="N3" s="3"/>
      <c r="O3" s="3"/>
      <c r="P3" s="306"/>
      <c r="Q3" s="306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2.75" customHeight="1" thickBot="1">
      <c r="A4" s="32">
        <v>45596</v>
      </c>
      <c r="B4" s="12" t="s">
        <v>10</v>
      </c>
      <c r="C4" s="14"/>
      <c r="D4" s="18">
        <f>G3</f>
        <v>5805.67</v>
      </c>
      <c r="E4" s="17">
        <f>(G4-D4)</f>
        <v>73.309999999999491</v>
      </c>
      <c r="F4" s="17">
        <v>0</v>
      </c>
      <c r="G4" s="28">
        <v>5878.98</v>
      </c>
      <c r="H4" s="29">
        <f t="shared" si="0"/>
        <v>1.2627310887459929E-2</v>
      </c>
      <c r="I4" s="5">
        <f>D4*M2</f>
        <v>580.56700000000001</v>
      </c>
      <c r="J4" s="7">
        <f>D4*K2</f>
        <v>290.2835</v>
      </c>
      <c r="K4" s="316" t="s">
        <v>11</v>
      </c>
      <c r="L4" s="317"/>
      <c r="M4" s="317"/>
      <c r="N4" s="1"/>
      <c r="O4" s="1"/>
      <c r="P4" s="305"/>
      <c r="Q4" s="306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2.75" customHeight="1" thickBot="1">
      <c r="A5" s="32">
        <v>45597</v>
      </c>
      <c r="B5" s="12" t="s">
        <v>10</v>
      </c>
      <c r="C5" s="13"/>
      <c r="D5" s="18">
        <f t="shared" ref="D5:D24" si="1">G4</f>
        <v>5878.98</v>
      </c>
      <c r="E5" s="17">
        <f>(G5-D5)</f>
        <v>1386.1400000000003</v>
      </c>
      <c r="F5" s="17">
        <v>0</v>
      </c>
      <c r="G5" s="28">
        <v>7265.12</v>
      </c>
      <c r="H5" s="29">
        <f t="shared" si="0"/>
        <v>0.23577899567612076</v>
      </c>
      <c r="I5" s="5">
        <f>D5*M2</f>
        <v>587.89800000000002</v>
      </c>
      <c r="J5" s="7">
        <f>D5*K2</f>
        <v>293.94900000000001</v>
      </c>
      <c r="K5" s="37">
        <v>1</v>
      </c>
      <c r="L5" s="39">
        <v>0.01</v>
      </c>
      <c r="M5" s="38">
        <f>G$30*0.01</f>
        <v>151.78469999999999</v>
      </c>
      <c r="N5" s="1"/>
      <c r="O5" s="1"/>
      <c r="P5" s="306"/>
      <c r="Q5" s="306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2.75" customHeight="1" thickBot="1">
      <c r="A6" s="32">
        <v>45598</v>
      </c>
      <c r="B6" s="12" t="s">
        <v>10</v>
      </c>
      <c r="C6" s="14"/>
      <c r="D6" s="18">
        <f t="shared" si="1"/>
        <v>7265.12</v>
      </c>
      <c r="E6" s="17">
        <f t="shared" ref="E6:E34" si="2">(G6-F6)-D6</f>
        <v>1101.6600000000008</v>
      </c>
      <c r="F6" s="17">
        <v>548.15</v>
      </c>
      <c r="G6" s="28">
        <v>8914.93</v>
      </c>
      <c r="H6" s="29">
        <f t="shared" si="0"/>
        <v>0.15163686215781719</v>
      </c>
      <c r="I6" s="5">
        <f>D6*M2</f>
        <v>726.51200000000006</v>
      </c>
      <c r="J6" s="46">
        <f>D6*K2</f>
        <v>363.25600000000003</v>
      </c>
      <c r="K6" s="37" t="s">
        <v>20</v>
      </c>
      <c r="L6" s="39">
        <v>0.02</v>
      </c>
      <c r="M6" s="38">
        <f>G$30*0.02</f>
        <v>303.56939999999997</v>
      </c>
      <c r="N6" s="1"/>
      <c r="O6" s="1"/>
      <c r="P6" s="315"/>
      <c r="Q6" s="306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22.75" customHeight="1" thickBot="1">
      <c r="A7" s="32">
        <v>45599</v>
      </c>
      <c r="B7" s="12" t="s">
        <v>10</v>
      </c>
      <c r="C7" s="14"/>
      <c r="D7" s="18">
        <f t="shared" si="1"/>
        <v>8914.93</v>
      </c>
      <c r="E7" s="17">
        <f t="shared" si="2"/>
        <v>1041.8400000000001</v>
      </c>
      <c r="F7" s="17">
        <v>54.82</v>
      </c>
      <c r="G7" s="28">
        <v>10011.59</v>
      </c>
      <c r="H7" s="30">
        <f t="shared" si="0"/>
        <v>0.11686463045699744</v>
      </c>
      <c r="I7" s="5">
        <f>D7*M2</f>
        <v>891.49300000000005</v>
      </c>
      <c r="J7" s="48">
        <f>D7*K2</f>
        <v>445.74650000000003</v>
      </c>
      <c r="K7" s="43"/>
      <c r="L7" s="44"/>
      <c r="M7" s="45"/>
      <c r="N7" s="1"/>
      <c r="O7" s="1"/>
      <c r="P7" s="306"/>
      <c r="Q7" s="306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2.75" customHeight="1" thickBot="1">
      <c r="A8" s="32">
        <v>45600</v>
      </c>
      <c r="B8" s="12" t="s">
        <v>10</v>
      </c>
      <c r="C8" s="14"/>
      <c r="D8" s="18">
        <f t="shared" si="1"/>
        <v>10011.59</v>
      </c>
      <c r="E8" s="17">
        <f t="shared" si="2"/>
        <v>763.15000000000146</v>
      </c>
      <c r="F8" s="17">
        <v>60.3</v>
      </c>
      <c r="G8" s="28">
        <v>10835.04</v>
      </c>
      <c r="H8" s="31">
        <f t="shared" si="0"/>
        <v>7.6226653308815229E-2</v>
      </c>
      <c r="I8" s="5">
        <f>D8*M2</f>
        <v>1001.1590000000001</v>
      </c>
      <c r="J8" s="47">
        <f>D8*K2</f>
        <v>500.57950000000005</v>
      </c>
      <c r="K8" s="318" t="s">
        <v>4</v>
      </c>
      <c r="L8" s="319"/>
      <c r="M8" s="319"/>
      <c r="N8" s="1"/>
      <c r="O8" s="1"/>
      <c r="P8" s="305"/>
      <c r="Q8" s="306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2.75" customHeight="1" thickBot="1">
      <c r="A9" s="32">
        <v>45601</v>
      </c>
      <c r="B9" s="12"/>
      <c r="C9" s="13" t="s">
        <v>9</v>
      </c>
      <c r="D9" s="18">
        <f>G8</f>
        <v>10835.04</v>
      </c>
      <c r="E9" s="17">
        <f t="shared" si="2"/>
        <v>-2824.5600000000013</v>
      </c>
      <c r="F9" s="17">
        <v>0</v>
      </c>
      <c r="G9" s="28">
        <v>8010.48</v>
      </c>
      <c r="H9" s="31">
        <f t="shared" si="0"/>
        <v>-0.26068754706950792</v>
      </c>
      <c r="I9" s="5">
        <f>D9*M2</f>
        <v>1083.5040000000001</v>
      </c>
      <c r="J9" s="7">
        <f>D9*K2</f>
        <v>541.75200000000007</v>
      </c>
      <c r="K9" s="319"/>
      <c r="L9" s="319"/>
      <c r="M9" s="319"/>
      <c r="N9" s="1"/>
      <c r="O9" s="1"/>
      <c r="P9" s="306"/>
      <c r="Q9" s="306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2.75" customHeight="1" thickBot="1">
      <c r="A10" s="32">
        <v>45602</v>
      </c>
      <c r="B10" s="10"/>
      <c r="C10" s="11"/>
      <c r="D10" s="18">
        <f>G9</f>
        <v>8010.48</v>
      </c>
      <c r="E10" s="17">
        <f t="shared" si="2"/>
        <v>0</v>
      </c>
      <c r="F10" s="17">
        <v>0</v>
      </c>
      <c r="G10" s="28">
        <v>8010.48</v>
      </c>
      <c r="H10" s="31">
        <f t="shared" si="0"/>
        <v>0</v>
      </c>
      <c r="I10" s="5">
        <f>D10*M2</f>
        <v>801.048</v>
      </c>
      <c r="J10" s="7">
        <f>D10*K2</f>
        <v>400.524</v>
      </c>
      <c r="K10" s="321">
        <v>12000</v>
      </c>
      <c r="L10" s="322"/>
      <c r="M10" s="322"/>
      <c r="N10" s="1"/>
      <c r="O10" s="1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22.75" customHeight="1" thickBot="1">
      <c r="A11" s="32">
        <v>45603</v>
      </c>
      <c r="B11" s="12"/>
      <c r="C11" s="13" t="s">
        <v>9</v>
      </c>
      <c r="D11" s="18">
        <f t="shared" si="1"/>
        <v>8010.48</v>
      </c>
      <c r="E11" s="17">
        <f t="shared" si="2"/>
        <v>-101.66999999999916</v>
      </c>
      <c r="F11" s="17">
        <v>0</v>
      </c>
      <c r="G11" s="28">
        <v>7908.81</v>
      </c>
      <c r="H11" s="31">
        <f t="shared" si="0"/>
        <v>-1.2692123318452724E-2</v>
      </c>
      <c r="I11" s="5">
        <f>D11*M2</f>
        <v>801.048</v>
      </c>
      <c r="J11" s="7">
        <f>D11*K2</f>
        <v>400.524</v>
      </c>
      <c r="K11" s="322"/>
      <c r="L11" s="322"/>
      <c r="M11" s="322"/>
      <c r="N11" s="1"/>
      <c r="O11" s="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2.75" customHeight="1" thickBot="1">
      <c r="A12" s="32">
        <v>45604</v>
      </c>
      <c r="B12" s="12" t="s">
        <v>10</v>
      </c>
      <c r="C12" s="13"/>
      <c r="D12" s="18">
        <f t="shared" si="1"/>
        <v>7908.81</v>
      </c>
      <c r="E12" s="17">
        <f t="shared" si="2"/>
        <v>425.74999999999909</v>
      </c>
      <c r="F12" s="17">
        <v>0</v>
      </c>
      <c r="G12" s="28">
        <v>8334.56</v>
      </c>
      <c r="H12" s="31">
        <f t="shared" si="0"/>
        <v>5.3832371747456198E-2</v>
      </c>
      <c r="I12" s="5">
        <f>D12*M2</f>
        <v>790.88100000000009</v>
      </c>
      <c r="J12" s="7">
        <f>D12*K2</f>
        <v>395.44050000000004</v>
      </c>
      <c r="K12" s="318" t="s">
        <v>6</v>
      </c>
      <c r="L12" s="323"/>
      <c r="M12" s="323"/>
      <c r="N12" s="1"/>
      <c r="O12" s="1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2.75" customHeight="1" thickBot="1">
      <c r="A13" s="32">
        <v>45605</v>
      </c>
      <c r="B13" s="12" t="s">
        <v>10</v>
      </c>
      <c r="C13" s="14"/>
      <c r="D13" s="18">
        <f t="shared" si="1"/>
        <v>8334.56</v>
      </c>
      <c r="E13" s="17">
        <f t="shared" si="2"/>
        <v>26.020000000000437</v>
      </c>
      <c r="F13" s="17">
        <v>0</v>
      </c>
      <c r="G13" s="28">
        <v>8360.58</v>
      </c>
      <c r="H13" s="31">
        <f t="shared" si="0"/>
        <v>3.1219404503657587E-3</v>
      </c>
      <c r="I13" s="5">
        <f>D13*M2</f>
        <v>833.45600000000002</v>
      </c>
      <c r="J13" s="7">
        <f>D13*K2</f>
        <v>416.72800000000001</v>
      </c>
      <c r="K13" s="323"/>
      <c r="L13" s="323"/>
      <c r="M13" s="323"/>
      <c r="N13" s="1"/>
      <c r="O13" s="1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2.75" customHeight="1" thickBot="1">
      <c r="A14" s="32">
        <v>45606</v>
      </c>
      <c r="B14" s="12" t="s">
        <v>10</v>
      </c>
      <c r="C14" s="14"/>
      <c r="D14" s="18">
        <f t="shared" si="1"/>
        <v>8360.58</v>
      </c>
      <c r="E14" s="17">
        <f t="shared" si="2"/>
        <v>488.51000000000022</v>
      </c>
      <c r="F14" s="17">
        <v>34.9</v>
      </c>
      <c r="G14" s="28">
        <v>8883.99</v>
      </c>
      <c r="H14" s="31">
        <f t="shared" si="0"/>
        <v>5.8430156759459298E-2</v>
      </c>
      <c r="I14" s="5">
        <f>D14*M2</f>
        <v>836.05799999999999</v>
      </c>
      <c r="J14" s="7">
        <f>D14*K2</f>
        <v>418.029</v>
      </c>
      <c r="K14" s="324">
        <f>SUM(E2:E33)</f>
        <v>11437.890000000005</v>
      </c>
      <c r="L14" s="325"/>
      <c r="M14" s="325"/>
      <c r="N14" s="1"/>
      <c r="O14" s="1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2.75" customHeight="1" thickBot="1">
      <c r="A15" s="32">
        <v>45607</v>
      </c>
      <c r="B15" s="12" t="s">
        <v>10</v>
      </c>
      <c r="C15" s="14"/>
      <c r="D15" s="18">
        <f t="shared" si="1"/>
        <v>8883.99</v>
      </c>
      <c r="E15" s="17">
        <f t="shared" si="2"/>
        <v>430.14000000000124</v>
      </c>
      <c r="F15" s="17">
        <v>36.64</v>
      </c>
      <c r="G15" s="28">
        <v>9350.77</v>
      </c>
      <c r="H15" s="31">
        <f t="shared" si="0"/>
        <v>4.8417434058345546E-2</v>
      </c>
      <c r="I15" s="5">
        <f>D15*M2</f>
        <v>888.399</v>
      </c>
      <c r="J15" s="7">
        <f>D15*K2</f>
        <v>444.1995</v>
      </c>
      <c r="K15" s="326"/>
      <c r="L15" s="326"/>
      <c r="M15" s="326"/>
      <c r="N15" s="1"/>
      <c r="O15" s="1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2.75" customHeight="1" thickBot="1">
      <c r="A16" s="32">
        <v>45608</v>
      </c>
      <c r="B16" s="12" t="s">
        <v>10</v>
      </c>
      <c r="C16" s="13"/>
      <c r="D16" s="18">
        <f t="shared" si="1"/>
        <v>9350.77</v>
      </c>
      <c r="E16" s="17">
        <f t="shared" si="2"/>
        <v>531.26000000000022</v>
      </c>
      <c r="F16" s="17">
        <v>38.47</v>
      </c>
      <c r="G16" s="28">
        <v>9920.5</v>
      </c>
      <c r="H16" s="31">
        <f t="shared" si="0"/>
        <v>5.6814572489752205E-2</v>
      </c>
      <c r="I16" s="5">
        <f>D16*M2</f>
        <v>935.07700000000011</v>
      </c>
      <c r="J16" s="7">
        <f>D16*K2</f>
        <v>467.53850000000006</v>
      </c>
      <c r="K16" s="327" t="s">
        <v>18</v>
      </c>
      <c r="L16" s="328"/>
      <c r="M16" s="328"/>
      <c r="N16" s="320">
        <f>G33-(SUM(F6:F33))</f>
        <v>17188.89</v>
      </c>
      <c r="O16" s="320"/>
      <c r="P16" s="320"/>
      <c r="Q16" s="27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2.75" customHeight="1" thickBot="1">
      <c r="A17" s="32">
        <v>45609</v>
      </c>
      <c r="B17" s="12" t="s">
        <v>10</v>
      </c>
      <c r="C17" s="14"/>
      <c r="D17" s="18">
        <f t="shared" si="1"/>
        <v>9920.5</v>
      </c>
      <c r="E17" s="17">
        <f t="shared" si="2"/>
        <v>535.57999999999993</v>
      </c>
      <c r="F17" s="17">
        <v>40.4</v>
      </c>
      <c r="G17" s="28">
        <v>10496.48</v>
      </c>
      <c r="H17" s="31">
        <f t="shared" si="0"/>
        <v>5.3987198225895865E-2</v>
      </c>
      <c r="I17" s="5">
        <f>D17*M2</f>
        <v>992.05000000000007</v>
      </c>
      <c r="J17" s="7">
        <f>D17*K2</f>
        <v>496.02500000000003</v>
      </c>
      <c r="K17" s="328"/>
      <c r="L17" s="328"/>
      <c r="M17" s="328"/>
      <c r="N17" s="320"/>
      <c r="O17" s="320"/>
      <c r="P17" s="320"/>
      <c r="Q17" s="27"/>
      <c r="R17" s="3"/>
      <c r="S17" s="3"/>
      <c r="T17" s="3"/>
      <c r="U17" s="3"/>
      <c r="V17" s="3"/>
      <c r="W17" s="3"/>
      <c r="X17" s="3"/>
      <c r="Y17" s="3"/>
      <c r="Z17" s="3"/>
      <c r="AA17" s="9"/>
    </row>
    <row r="18" spans="1:27" ht="22.75" customHeight="1" thickBot="1">
      <c r="A18" s="32">
        <v>45610</v>
      </c>
      <c r="B18" s="12" t="s">
        <v>10</v>
      </c>
      <c r="C18" s="14"/>
      <c r="D18" s="18">
        <f t="shared" si="1"/>
        <v>10496.48</v>
      </c>
      <c r="E18" s="17">
        <f t="shared" si="2"/>
        <v>406.89000000000124</v>
      </c>
      <c r="F18" s="17">
        <v>42.42</v>
      </c>
      <c r="G18" s="28">
        <v>10945.79</v>
      </c>
      <c r="H18" s="31">
        <f t="shared" si="0"/>
        <v>3.8764423883054247E-2</v>
      </c>
      <c r="I18" s="5">
        <f>D18*M2</f>
        <v>1049.6479999999999</v>
      </c>
      <c r="J18" s="8">
        <f>D18*K2</f>
        <v>524.82399999999996</v>
      </c>
      <c r="K18" s="303"/>
      <c r="L18" s="304"/>
      <c r="M18" s="304"/>
      <c r="N18" s="1"/>
      <c r="O18" s="1"/>
      <c r="P18" s="3"/>
      <c r="Q18" s="3"/>
      <c r="R18" s="3" t="s">
        <v>7</v>
      </c>
      <c r="S18" s="3"/>
      <c r="T18" s="3"/>
      <c r="U18" s="3"/>
      <c r="V18" s="3"/>
      <c r="W18" s="3"/>
      <c r="X18" s="3"/>
      <c r="Z18" s="3"/>
      <c r="AA18" s="3"/>
    </row>
    <row r="19" spans="1:27" ht="22.75" customHeight="1" thickBot="1">
      <c r="A19" s="32">
        <v>45611</v>
      </c>
      <c r="B19" s="12" t="s">
        <v>10</v>
      </c>
      <c r="C19" s="13"/>
      <c r="D19" s="18">
        <f t="shared" si="1"/>
        <v>10945.79</v>
      </c>
      <c r="E19" s="17">
        <f t="shared" si="2"/>
        <v>238.71999999999935</v>
      </c>
      <c r="F19" s="17">
        <v>0</v>
      </c>
      <c r="G19" s="28">
        <v>11184.51</v>
      </c>
      <c r="H19" s="31">
        <f t="shared" si="0"/>
        <v>2.1809298369510042E-2</v>
      </c>
      <c r="I19" s="5">
        <f>D19*M2</f>
        <v>1094.5790000000002</v>
      </c>
      <c r="J19" s="8">
        <f>D19*K2</f>
        <v>547.28950000000009</v>
      </c>
      <c r="K19" s="303"/>
      <c r="L19" s="304"/>
      <c r="M19" s="304"/>
      <c r="N19" s="1"/>
      <c r="O19" s="1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2.75" customHeight="1" thickBot="1">
      <c r="A20" s="32">
        <v>45612</v>
      </c>
      <c r="B20" s="12" t="s">
        <v>10</v>
      </c>
      <c r="C20" s="14"/>
      <c r="D20" s="18">
        <f t="shared" si="1"/>
        <v>11184.51</v>
      </c>
      <c r="E20" s="17">
        <f t="shared" si="2"/>
        <v>576.18999999999869</v>
      </c>
      <c r="F20" s="17">
        <v>44.54</v>
      </c>
      <c r="G20" s="28">
        <v>11805.24</v>
      </c>
      <c r="H20" s="31">
        <f t="shared" si="0"/>
        <v>5.1516785268196703E-2</v>
      </c>
      <c r="I20" s="5">
        <f>D20*M2</f>
        <v>1118.451</v>
      </c>
      <c r="J20" s="8">
        <f>D20*K2</f>
        <v>559.22550000000001</v>
      </c>
      <c r="K20" s="1"/>
      <c r="L20" s="35"/>
      <c r="M20" s="1"/>
      <c r="N20" s="1"/>
      <c r="O20" s="1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22.75" customHeight="1" thickBot="1">
      <c r="A21" s="32">
        <v>45613</v>
      </c>
      <c r="B21" s="10"/>
      <c r="C21" s="11"/>
      <c r="D21" s="18">
        <f t="shared" si="1"/>
        <v>11805.24</v>
      </c>
      <c r="E21" s="17">
        <f t="shared" si="2"/>
        <v>0</v>
      </c>
      <c r="F21" s="17">
        <v>0</v>
      </c>
      <c r="G21" s="28">
        <v>11805.24</v>
      </c>
      <c r="H21" s="31">
        <f t="shared" si="0"/>
        <v>0</v>
      </c>
      <c r="I21" s="5">
        <f>D21*M2</f>
        <v>1180.5240000000001</v>
      </c>
      <c r="J21" s="8">
        <f>D21*K2</f>
        <v>590.26200000000006</v>
      </c>
      <c r="K21" s="1"/>
      <c r="L21" s="1"/>
      <c r="M21" s="1"/>
      <c r="N21" s="1"/>
      <c r="O21" s="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2.75" customHeight="1" thickBot="1">
      <c r="A22" s="32">
        <v>45614</v>
      </c>
      <c r="B22" s="12"/>
      <c r="C22" s="13" t="s">
        <v>9</v>
      </c>
      <c r="D22" s="18">
        <f t="shared" si="1"/>
        <v>11805.24</v>
      </c>
      <c r="E22" s="17">
        <f t="shared" si="2"/>
        <v>-116.09000000000015</v>
      </c>
      <c r="F22" s="17">
        <v>0</v>
      </c>
      <c r="G22" s="28">
        <v>11689.15</v>
      </c>
      <c r="H22" s="31">
        <f t="shared" si="0"/>
        <v>-9.8337687332066218E-3</v>
      </c>
      <c r="I22" s="5">
        <f>D22*M2</f>
        <v>1180.5240000000001</v>
      </c>
      <c r="J22" s="8">
        <f>D22*K2</f>
        <v>590.26200000000006</v>
      </c>
      <c r="K22" s="1"/>
      <c r="L22" s="1"/>
      <c r="M22" s="1"/>
      <c r="N22" s="1"/>
      <c r="O22" s="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2.75" customHeight="1" thickBot="1">
      <c r="A23" s="32">
        <v>45615</v>
      </c>
      <c r="B23" s="12" t="s">
        <v>10</v>
      </c>
      <c r="C23" s="14"/>
      <c r="D23" s="18">
        <f t="shared" si="1"/>
        <v>11689.15</v>
      </c>
      <c r="E23" s="17">
        <f t="shared" si="2"/>
        <v>580.90999999999985</v>
      </c>
      <c r="F23" s="17">
        <v>46.76</v>
      </c>
      <c r="G23" s="28">
        <v>12316.82</v>
      </c>
      <c r="H23" s="31">
        <f t="shared" si="0"/>
        <v>4.9696513433397628E-2</v>
      </c>
      <c r="I23" s="5">
        <f>D23*M2</f>
        <v>1168.915</v>
      </c>
      <c r="J23" s="8">
        <f>D23*K2</f>
        <v>584.45749999999998</v>
      </c>
      <c r="K23" s="1"/>
      <c r="L23" s="1"/>
      <c r="M23" s="1"/>
      <c r="N23" s="1"/>
      <c r="O23" s="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2.75" customHeight="1" thickBot="1">
      <c r="A24" s="32">
        <v>45616</v>
      </c>
      <c r="B24" s="12" t="s">
        <v>10</v>
      </c>
      <c r="C24" s="14"/>
      <c r="D24" s="18">
        <f t="shared" si="1"/>
        <v>12316.82</v>
      </c>
      <c r="E24" s="17">
        <f t="shared" si="2"/>
        <v>640.34000000000015</v>
      </c>
      <c r="F24" s="17">
        <v>49.1</v>
      </c>
      <c r="G24" s="28">
        <v>13006.26</v>
      </c>
      <c r="H24" s="31">
        <f t="shared" si="0"/>
        <v>5.198906860699435E-2</v>
      </c>
      <c r="I24" s="5">
        <f>D24*M2</f>
        <v>1231.682</v>
      </c>
      <c r="J24" s="8">
        <f>D24*K2</f>
        <v>615.84100000000001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2.75" customHeight="1" thickBot="1">
      <c r="A25" s="32">
        <v>45617</v>
      </c>
      <c r="B25" s="12" t="s">
        <v>10</v>
      </c>
      <c r="C25" s="14"/>
      <c r="D25" s="18">
        <f>G24</f>
        <v>13006.26</v>
      </c>
      <c r="E25" s="17">
        <f t="shared" si="2"/>
        <v>719.02000000000044</v>
      </c>
      <c r="F25" s="17">
        <v>51.56</v>
      </c>
      <c r="G25" s="28">
        <v>13776.84</v>
      </c>
      <c r="H25" s="31">
        <f t="shared" si="0"/>
        <v>5.5282610066229677E-2</v>
      </c>
      <c r="I25" s="5">
        <f t="shared" ref="I25:I34" si="3">D25*$M$2</f>
        <v>1300.6260000000002</v>
      </c>
      <c r="J25" s="8">
        <f t="shared" ref="J25:J34" si="4">D25*$K$2</f>
        <v>650.3130000000001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2.75" customHeight="1" thickBot="1">
      <c r="A26" s="32">
        <v>45618</v>
      </c>
      <c r="B26" s="10"/>
      <c r="C26" s="11"/>
      <c r="D26" s="18">
        <f t="shared" ref="D26:D34" si="5">G25</f>
        <v>13776.84</v>
      </c>
      <c r="E26" s="17">
        <f t="shared" si="2"/>
        <v>0</v>
      </c>
      <c r="F26" s="17">
        <v>0</v>
      </c>
      <c r="G26" s="28">
        <v>13776.84</v>
      </c>
      <c r="H26" s="31">
        <f t="shared" si="0"/>
        <v>0</v>
      </c>
      <c r="I26" s="5">
        <f t="shared" si="3"/>
        <v>1377.6840000000002</v>
      </c>
      <c r="J26" s="8">
        <f t="shared" si="4"/>
        <v>688.8420000000001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2.75" customHeight="1" thickBot="1">
      <c r="A27" s="32">
        <v>45619</v>
      </c>
      <c r="B27" s="10"/>
      <c r="C27" s="11"/>
      <c r="D27" s="18">
        <f t="shared" si="5"/>
        <v>13776.84</v>
      </c>
      <c r="E27" s="17">
        <f t="shared" si="2"/>
        <v>0</v>
      </c>
      <c r="F27" s="17">
        <v>0</v>
      </c>
      <c r="G27" s="28">
        <v>13776.84</v>
      </c>
      <c r="H27" s="31">
        <f t="shared" si="0"/>
        <v>0</v>
      </c>
      <c r="I27" s="5">
        <f t="shared" si="3"/>
        <v>1377.6840000000002</v>
      </c>
      <c r="J27" s="8">
        <f t="shared" si="4"/>
        <v>688.8420000000001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2.75" customHeight="1" thickBot="1">
      <c r="A28" s="32">
        <v>45620</v>
      </c>
      <c r="B28" s="10"/>
      <c r="C28" s="11"/>
      <c r="D28" s="18">
        <f t="shared" si="5"/>
        <v>13776.84</v>
      </c>
      <c r="E28" s="17">
        <f t="shared" si="2"/>
        <v>0</v>
      </c>
      <c r="F28" s="17">
        <v>0</v>
      </c>
      <c r="G28" s="28">
        <v>13776.84</v>
      </c>
      <c r="H28" s="31">
        <f t="shared" si="0"/>
        <v>0</v>
      </c>
      <c r="I28" s="5">
        <f t="shared" si="3"/>
        <v>1377.6840000000002</v>
      </c>
      <c r="J28" s="8">
        <f t="shared" si="4"/>
        <v>688.8420000000001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2.75" customHeight="1" thickBot="1">
      <c r="A29" s="32">
        <v>45621</v>
      </c>
      <c r="B29" s="12" t="s">
        <v>10</v>
      </c>
      <c r="C29" s="14"/>
      <c r="D29" s="18">
        <f t="shared" si="5"/>
        <v>13776.84</v>
      </c>
      <c r="E29" s="17">
        <f t="shared" si="2"/>
        <v>553.48999999999978</v>
      </c>
      <c r="F29" s="17">
        <v>54.13</v>
      </c>
      <c r="G29" s="28">
        <v>14384.46</v>
      </c>
      <c r="H29" s="31">
        <f t="shared" si="0"/>
        <v>4.0175395809198607E-2</v>
      </c>
      <c r="I29" s="5">
        <f t="shared" si="3"/>
        <v>1377.6840000000002</v>
      </c>
      <c r="J29" s="8">
        <f t="shared" si="4"/>
        <v>688.8420000000001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22.75" customHeight="1" thickBot="1">
      <c r="A30" s="32">
        <v>45622</v>
      </c>
      <c r="B30" s="12" t="s">
        <v>10</v>
      </c>
      <c r="C30" s="14"/>
      <c r="D30" s="18">
        <f t="shared" si="5"/>
        <v>14384.46</v>
      </c>
      <c r="E30" s="17">
        <f t="shared" si="2"/>
        <v>737.17000000000007</v>
      </c>
      <c r="F30" s="17">
        <v>56.84</v>
      </c>
      <c r="G30" s="28">
        <v>15178.47</v>
      </c>
      <c r="H30" s="31">
        <f t="shared" si="0"/>
        <v>5.1247665883877469E-2</v>
      </c>
      <c r="I30" s="5">
        <f t="shared" si="3"/>
        <v>1438.4459999999999</v>
      </c>
      <c r="J30" s="8">
        <f t="shared" si="4"/>
        <v>719.22299999999996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22.75" customHeight="1" thickBot="1">
      <c r="A31" s="32">
        <v>45623</v>
      </c>
      <c r="B31" s="12" t="s">
        <v>10</v>
      </c>
      <c r="C31" s="14"/>
      <c r="D31" s="18">
        <f t="shared" si="5"/>
        <v>15178.47</v>
      </c>
      <c r="E31" s="17">
        <f t="shared" si="2"/>
        <v>1401.0100000000002</v>
      </c>
      <c r="F31" s="17">
        <v>59.68</v>
      </c>
      <c r="G31" s="28">
        <v>16639.16</v>
      </c>
      <c r="H31" s="31">
        <f t="shared" si="0"/>
        <v>9.2302452091679879E-2</v>
      </c>
      <c r="I31" s="5">
        <f t="shared" si="3"/>
        <v>1517.847</v>
      </c>
      <c r="J31" s="8">
        <f t="shared" si="4"/>
        <v>758.92349999999999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22.75" customHeight="1" thickBot="1">
      <c r="A32" s="32">
        <v>45624</v>
      </c>
      <c r="B32" s="12" t="s">
        <v>10</v>
      </c>
      <c r="C32" s="14"/>
      <c r="D32" s="18">
        <f t="shared" si="5"/>
        <v>16639.16</v>
      </c>
      <c r="E32" s="17">
        <f t="shared" si="2"/>
        <v>852.57000000000335</v>
      </c>
      <c r="F32" s="17">
        <v>62.67</v>
      </c>
      <c r="G32" s="28">
        <v>17554.400000000001</v>
      </c>
      <c r="H32" s="31">
        <f t="shared" si="0"/>
        <v>5.1238764456859806E-2</v>
      </c>
      <c r="I32" s="5">
        <f t="shared" si="3"/>
        <v>1663.9160000000002</v>
      </c>
      <c r="J32" s="8">
        <f t="shared" si="4"/>
        <v>831.95800000000008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22.75" customHeight="1" thickBot="1">
      <c r="A33" s="32">
        <v>45625</v>
      </c>
      <c r="B33" s="12" t="s">
        <v>10</v>
      </c>
      <c r="C33" s="14"/>
      <c r="D33" s="18">
        <f t="shared" si="5"/>
        <v>17554.400000000001</v>
      </c>
      <c r="E33" s="17">
        <f t="shared" si="2"/>
        <v>915.86999999999898</v>
      </c>
      <c r="F33" s="17">
        <v>65.8</v>
      </c>
      <c r="G33" s="28">
        <v>18536.07</v>
      </c>
      <c r="H33" s="31">
        <f t="shared" si="0"/>
        <v>5.2173244314815598E-2</v>
      </c>
      <c r="I33" s="5">
        <f t="shared" si="3"/>
        <v>1755.4400000000003</v>
      </c>
      <c r="J33" s="8">
        <f t="shared" si="4"/>
        <v>877.72000000000014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22.75" customHeight="1" thickBot="1">
      <c r="A34" s="32">
        <v>45626</v>
      </c>
      <c r="B34" s="10"/>
      <c r="C34" s="11"/>
      <c r="D34" s="18">
        <f t="shared" si="5"/>
        <v>18536.07</v>
      </c>
      <c r="E34" s="17">
        <f t="shared" si="2"/>
        <v>0</v>
      </c>
      <c r="F34" s="17">
        <v>0</v>
      </c>
      <c r="G34" s="28">
        <v>18536.07</v>
      </c>
      <c r="H34" s="40">
        <f t="shared" si="0"/>
        <v>0</v>
      </c>
      <c r="I34" s="5">
        <f t="shared" si="3"/>
        <v>1853.607</v>
      </c>
      <c r="J34" s="8">
        <f t="shared" si="4"/>
        <v>926.80349999999999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22.75" customHeight="1" thickBot="1">
      <c r="A35" s="36" t="s">
        <v>8</v>
      </c>
      <c r="B35" s="15">
        <f>COUNTA(B2:B34)</f>
        <v>23</v>
      </c>
      <c r="C35" s="16">
        <f>COUNTA(C2:C34)</f>
        <v>3</v>
      </c>
      <c r="D35" s="6"/>
      <c r="E35" s="6"/>
      <c r="F35" s="6"/>
      <c r="G35" s="41" t="s">
        <v>19</v>
      </c>
      <c r="H35" s="42">
        <f>SUM(H3:H33)/SUM(B35,C35)</f>
        <v>4.4239503158486085E-2</v>
      </c>
      <c r="I35" s="6"/>
      <c r="J35" s="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2"/>
      <c r="B36" s="2"/>
      <c r="C36" s="2"/>
      <c r="D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2"/>
      <c r="B37" s="2"/>
      <c r="C37" s="2"/>
      <c r="D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2"/>
      <c r="B38" s="2"/>
      <c r="C38" s="2"/>
      <c r="D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2"/>
      <c r="B39" s="2"/>
      <c r="C39" s="2"/>
      <c r="D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2"/>
      <c r="B40" s="2"/>
      <c r="C40" s="2"/>
      <c r="D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2"/>
      <c r="B41" s="2"/>
      <c r="C41" s="2"/>
      <c r="D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2"/>
      <c r="B42" s="2"/>
      <c r="C42" s="2"/>
      <c r="D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2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" customHeight="1">
      <c r="A44" s="2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customHeight="1">
      <c r="A45" s="2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customHeight="1">
      <c r="A46" s="2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customHeight="1">
      <c r="A47" s="2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2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2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2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2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2"/>
      <c r="B52" s="2"/>
      <c r="C52" s="2"/>
      <c r="D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2"/>
      <c r="B53" s="2"/>
      <c r="C53" s="2"/>
      <c r="D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2"/>
      <c r="B54" s="2"/>
      <c r="C54" s="2"/>
      <c r="D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2"/>
      <c r="B55" s="2"/>
      <c r="C55" s="2"/>
      <c r="D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2"/>
      <c r="B56" s="2"/>
      <c r="C56" s="2"/>
      <c r="D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2"/>
      <c r="B57" s="2"/>
      <c r="C57" s="2"/>
      <c r="D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2"/>
      <c r="B58" s="2"/>
      <c r="C58" s="2"/>
      <c r="D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2"/>
      <c r="B59" s="2"/>
      <c r="C59" s="2"/>
      <c r="D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2"/>
      <c r="B60" s="2"/>
      <c r="C60" s="2"/>
      <c r="D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2"/>
      <c r="B61" s="2"/>
      <c r="C61" s="2"/>
      <c r="D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2"/>
      <c r="B62" s="2"/>
      <c r="C62" s="2"/>
      <c r="D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2"/>
      <c r="B63" s="2"/>
      <c r="C63" s="2"/>
      <c r="D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2"/>
      <c r="B64" s="2"/>
      <c r="C64" s="2"/>
      <c r="D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2"/>
      <c r="B65" s="2"/>
      <c r="C65" s="2"/>
      <c r="D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2"/>
      <c r="B66" s="2"/>
      <c r="C66" s="2"/>
      <c r="D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2"/>
      <c r="B67" s="2"/>
      <c r="C67" s="2"/>
      <c r="D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2"/>
      <c r="B68" s="2"/>
      <c r="C68" s="2"/>
      <c r="D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2"/>
      <c r="B69" s="2"/>
      <c r="C69" s="2"/>
      <c r="D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2"/>
      <c r="B70" s="2"/>
      <c r="C70" s="2"/>
      <c r="D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2"/>
      <c r="B71" s="2"/>
      <c r="C71" s="2"/>
      <c r="D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2"/>
      <c r="B72" s="2"/>
      <c r="C72" s="2"/>
      <c r="D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2"/>
      <c r="B73" s="2"/>
      <c r="C73" s="2"/>
      <c r="D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2"/>
      <c r="B74" s="2"/>
      <c r="C74" s="2"/>
      <c r="D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2"/>
      <c r="B75" s="2"/>
      <c r="C75" s="2"/>
      <c r="D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2"/>
      <c r="B76" s="2"/>
      <c r="C76" s="2"/>
      <c r="D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2"/>
      <c r="B77" s="2"/>
      <c r="C77" s="2"/>
      <c r="D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2"/>
      <c r="B78" s="2"/>
      <c r="C78" s="2"/>
      <c r="D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2"/>
      <c r="B79" s="2"/>
      <c r="C79" s="2"/>
      <c r="D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2"/>
      <c r="B80" s="2"/>
      <c r="C80" s="2"/>
      <c r="D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2"/>
      <c r="B81" s="2"/>
      <c r="C81" s="2"/>
      <c r="D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2"/>
      <c r="B82" s="2"/>
      <c r="C82" s="2"/>
      <c r="D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2"/>
      <c r="B83" s="2"/>
      <c r="C83" s="2"/>
      <c r="D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2"/>
      <c r="B84" s="2"/>
      <c r="C84" s="2"/>
      <c r="D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2"/>
      <c r="B85" s="2"/>
      <c r="C85" s="2"/>
      <c r="D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2"/>
      <c r="B86" s="2"/>
      <c r="C86" s="2"/>
      <c r="D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2"/>
      <c r="B87" s="2"/>
      <c r="C87" s="2"/>
      <c r="D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2"/>
      <c r="B88" s="2"/>
      <c r="C88" s="2"/>
      <c r="D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2"/>
      <c r="B89" s="2"/>
      <c r="C89" s="2"/>
      <c r="D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2"/>
      <c r="B90" s="2"/>
      <c r="C90" s="2"/>
      <c r="D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2"/>
      <c r="B91" s="2"/>
      <c r="C91" s="2"/>
      <c r="D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2"/>
      <c r="B92" s="2"/>
      <c r="C92" s="2"/>
      <c r="D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2"/>
      <c r="B93" s="2"/>
      <c r="C93" s="2"/>
      <c r="D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2"/>
      <c r="B94" s="2"/>
      <c r="C94" s="2"/>
      <c r="D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2"/>
      <c r="B95" s="2"/>
      <c r="C95" s="2"/>
      <c r="D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2"/>
      <c r="B96" s="2"/>
      <c r="C96" s="2"/>
      <c r="D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2"/>
      <c r="B97" s="2"/>
      <c r="C97" s="2"/>
      <c r="D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2"/>
      <c r="B98" s="2"/>
      <c r="C98" s="2"/>
      <c r="D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2"/>
      <c r="B99" s="2"/>
      <c r="C99" s="2"/>
      <c r="D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2"/>
      <c r="B100" s="2"/>
      <c r="C100" s="2"/>
      <c r="D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2"/>
      <c r="B101" s="2"/>
      <c r="C101" s="2"/>
      <c r="D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2"/>
      <c r="B102" s="2"/>
      <c r="C102" s="2"/>
      <c r="D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2"/>
      <c r="B103" s="2"/>
      <c r="C103" s="2"/>
      <c r="D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2"/>
      <c r="B104" s="2"/>
      <c r="C104" s="2"/>
      <c r="D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2"/>
      <c r="B105" s="2"/>
      <c r="C105" s="2"/>
      <c r="D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2"/>
      <c r="B106" s="2"/>
      <c r="C106" s="2"/>
      <c r="D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2"/>
      <c r="B107" s="2"/>
      <c r="C107" s="2"/>
      <c r="D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2"/>
      <c r="B108" s="2"/>
      <c r="C108" s="2"/>
      <c r="D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2"/>
      <c r="B109" s="2"/>
      <c r="C109" s="2"/>
      <c r="D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2"/>
      <c r="B110" s="2"/>
      <c r="C110" s="2"/>
      <c r="D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2"/>
      <c r="B111" s="2"/>
      <c r="C111" s="2"/>
      <c r="D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2"/>
      <c r="B112" s="2"/>
      <c r="C112" s="2"/>
      <c r="D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2"/>
      <c r="B113" s="2"/>
      <c r="C113" s="2"/>
      <c r="D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2"/>
      <c r="B114" s="2"/>
      <c r="C114" s="2"/>
      <c r="D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2"/>
      <c r="B115" s="2"/>
      <c r="C115" s="2"/>
      <c r="D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2"/>
      <c r="B116" s="2"/>
      <c r="C116" s="2"/>
      <c r="D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2"/>
      <c r="B117" s="2"/>
      <c r="C117" s="2"/>
      <c r="D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2"/>
      <c r="B118" s="2"/>
      <c r="C118" s="2"/>
      <c r="D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2"/>
      <c r="B119" s="2"/>
      <c r="C119" s="2"/>
      <c r="D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2"/>
      <c r="B120" s="2"/>
      <c r="C120" s="2"/>
      <c r="D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2"/>
      <c r="B121" s="2"/>
      <c r="C121" s="2"/>
      <c r="D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2"/>
      <c r="B122" s="2"/>
      <c r="C122" s="2"/>
      <c r="D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2"/>
      <c r="B123" s="2"/>
      <c r="C123" s="2"/>
      <c r="D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2"/>
      <c r="B124" s="2"/>
      <c r="C124" s="2"/>
      <c r="D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2"/>
      <c r="B125" s="2"/>
      <c r="C125" s="2"/>
      <c r="D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2"/>
      <c r="B126" s="2"/>
      <c r="C126" s="2"/>
      <c r="D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2"/>
      <c r="B127" s="2"/>
      <c r="C127" s="2"/>
      <c r="D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2"/>
      <c r="B128" s="2"/>
      <c r="C128" s="2"/>
      <c r="D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2"/>
      <c r="B129" s="2"/>
      <c r="C129" s="2"/>
      <c r="D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2"/>
      <c r="B130" s="2"/>
      <c r="C130" s="2"/>
      <c r="D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2"/>
      <c r="B131" s="2"/>
      <c r="C131" s="2"/>
      <c r="D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2"/>
      <c r="B132" s="2"/>
      <c r="C132" s="2"/>
      <c r="D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2"/>
      <c r="B133" s="2"/>
      <c r="C133" s="2"/>
      <c r="D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2"/>
      <c r="B134" s="2"/>
      <c r="C134" s="2"/>
      <c r="D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2"/>
      <c r="B135" s="2"/>
      <c r="C135" s="2"/>
      <c r="D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2"/>
      <c r="B136" s="2"/>
      <c r="C136" s="2"/>
      <c r="D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2"/>
      <c r="B137" s="2"/>
      <c r="C137" s="2"/>
      <c r="D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2"/>
      <c r="B138" s="2"/>
      <c r="C138" s="2"/>
      <c r="D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2"/>
      <c r="B139" s="2"/>
      <c r="C139" s="2"/>
      <c r="D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2"/>
      <c r="B140" s="2"/>
      <c r="C140" s="2"/>
      <c r="D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2"/>
      <c r="B141" s="2"/>
      <c r="C141" s="2"/>
      <c r="D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2"/>
      <c r="B142" s="2"/>
      <c r="C142" s="2"/>
      <c r="D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2"/>
      <c r="B143" s="2"/>
      <c r="C143" s="2"/>
      <c r="D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2"/>
      <c r="B144" s="2"/>
      <c r="C144" s="2"/>
      <c r="D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2"/>
      <c r="B145" s="2"/>
      <c r="C145" s="2"/>
      <c r="D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2"/>
      <c r="B146" s="2"/>
      <c r="C146" s="2"/>
      <c r="D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2"/>
      <c r="B147" s="2"/>
      <c r="C147" s="2"/>
      <c r="D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2"/>
      <c r="B148" s="2"/>
      <c r="C148" s="2"/>
      <c r="D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2"/>
      <c r="B149" s="2"/>
      <c r="C149" s="2"/>
      <c r="D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2"/>
      <c r="B150" s="2"/>
      <c r="C150" s="2"/>
      <c r="D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2"/>
      <c r="B151" s="2"/>
      <c r="C151" s="2"/>
      <c r="D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2"/>
      <c r="B152" s="2"/>
      <c r="C152" s="2"/>
      <c r="D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2"/>
      <c r="B153" s="2"/>
      <c r="C153" s="2"/>
      <c r="D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2"/>
      <c r="B154" s="2"/>
      <c r="C154" s="2"/>
      <c r="D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2"/>
      <c r="B155" s="2"/>
      <c r="C155" s="2"/>
      <c r="D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2"/>
      <c r="B156" s="2"/>
      <c r="C156" s="2"/>
      <c r="D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2"/>
      <c r="B157" s="2"/>
      <c r="C157" s="2"/>
      <c r="D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2"/>
      <c r="B158" s="2"/>
      <c r="C158" s="2"/>
      <c r="D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2"/>
      <c r="B159" s="2"/>
      <c r="C159" s="2"/>
      <c r="D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2"/>
      <c r="B160" s="2"/>
      <c r="C160" s="2"/>
      <c r="D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2"/>
      <c r="B161" s="2"/>
      <c r="C161" s="2"/>
      <c r="D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2"/>
      <c r="B162" s="2"/>
      <c r="C162" s="2"/>
      <c r="D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2"/>
      <c r="B163" s="2"/>
      <c r="C163" s="2"/>
      <c r="D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2"/>
      <c r="B164" s="2"/>
      <c r="C164" s="2"/>
      <c r="D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2"/>
      <c r="B165" s="2"/>
      <c r="C165" s="2"/>
      <c r="D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2"/>
      <c r="B166" s="2"/>
      <c r="C166" s="2"/>
      <c r="D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2"/>
      <c r="B167" s="2"/>
      <c r="C167" s="2"/>
      <c r="D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2"/>
      <c r="B168" s="2"/>
      <c r="C168" s="2"/>
      <c r="D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2"/>
      <c r="B169" s="2"/>
      <c r="C169" s="2"/>
      <c r="D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2"/>
      <c r="B170" s="2"/>
      <c r="C170" s="2"/>
      <c r="D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2"/>
      <c r="B171" s="2"/>
      <c r="C171" s="2"/>
      <c r="D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2"/>
      <c r="B172" s="2"/>
      <c r="C172" s="2"/>
      <c r="D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2"/>
      <c r="B173" s="2"/>
      <c r="C173" s="2"/>
      <c r="D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2"/>
      <c r="B174" s="2"/>
      <c r="C174" s="2"/>
      <c r="D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2"/>
      <c r="B175" s="2"/>
      <c r="C175" s="2"/>
      <c r="D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2"/>
      <c r="B176" s="2"/>
      <c r="C176" s="2"/>
      <c r="D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2"/>
      <c r="B177" s="2"/>
      <c r="C177" s="2"/>
      <c r="D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2"/>
      <c r="B178" s="2"/>
      <c r="C178" s="2"/>
      <c r="D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2"/>
      <c r="B179" s="2"/>
      <c r="C179" s="2"/>
      <c r="D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2"/>
      <c r="B180" s="2"/>
      <c r="C180" s="2"/>
      <c r="D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2"/>
      <c r="B181" s="2"/>
      <c r="C181" s="2"/>
      <c r="D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2"/>
      <c r="B182" s="2"/>
      <c r="C182" s="2"/>
      <c r="D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2"/>
      <c r="B183" s="2"/>
      <c r="C183" s="2"/>
      <c r="D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2"/>
      <c r="B184" s="2"/>
      <c r="C184" s="2"/>
      <c r="D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2"/>
      <c r="B185" s="2"/>
      <c r="C185" s="2"/>
      <c r="D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2"/>
      <c r="B186" s="2"/>
      <c r="C186" s="2"/>
      <c r="D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2"/>
      <c r="B187" s="2"/>
      <c r="C187" s="2"/>
      <c r="D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2"/>
      <c r="B188" s="2"/>
      <c r="C188" s="2"/>
      <c r="D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2"/>
      <c r="B189" s="2"/>
      <c r="C189" s="2"/>
      <c r="D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2"/>
      <c r="B190" s="2"/>
      <c r="C190" s="2"/>
      <c r="D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2"/>
      <c r="B191" s="2"/>
      <c r="C191" s="2"/>
      <c r="D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2"/>
      <c r="B192" s="2"/>
      <c r="C192" s="2"/>
      <c r="D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2"/>
      <c r="B193" s="2"/>
      <c r="C193" s="2"/>
      <c r="D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2"/>
      <c r="B194" s="2"/>
      <c r="C194" s="2"/>
      <c r="D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2"/>
      <c r="B195" s="2"/>
      <c r="C195" s="2"/>
      <c r="D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2"/>
      <c r="B196" s="2"/>
      <c r="C196" s="2"/>
      <c r="D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2"/>
      <c r="B197" s="2"/>
      <c r="C197" s="2"/>
      <c r="D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2"/>
      <c r="B198" s="2"/>
      <c r="C198" s="2"/>
      <c r="D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2"/>
      <c r="B199" s="2"/>
      <c r="C199" s="2"/>
      <c r="D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2"/>
      <c r="B200" s="2"/>
      <c r="C200" s="2"/>
      <c r="D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2"/>
      <c r="B201" s="2"/>
      <c r="C201" s="2"/>
      <c r="D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2"/>
      <c r="B202" s="2"/>
      <c r="C202" s="2"/>
      <c r="D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2"/>
      <c r="B203" s="2"/>
      <c r="C203" s="2"/>
      <c r="D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2"/>
      <c r="B204" s="2"/>
      <c r="C204" s="2"/>
      <c r="D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2"/>
      <c r="B205" s="2"/>
      <c r="C205" s="2"/>
      <c r="D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2"/>
      <c r="B206" s="2"/>
      <c r="C206" s="2"/>
      <c r="D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2"/>
      <c r="B207" s="2"/>
      <c r="C207" s="2"/>
      <c r="D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2"/>
      <c r="B208" s="2"/>
      <c r="C208" s="2"/>
      <c r="D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2"/>
      <c r="B209" s="2"/>
      <c r="C209" s="2"/>
      <c r="D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2"/>
      <c r="B210" s="2"/>
      <c r="C210" s="2"/>
      <c r="D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2"/>
      <c r="B211" s="2"/>
      <c r="C211" s="2"/>
      <c r="D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2"/>
      <c r="B212" s="2"/>
      <c r="C212" s="2"/>
      <c r="D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2"/>
      <c r="B213" s="2"/>
      <c r="C213" s="2"/>
      <c r="D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2"/>
      <c r="B214" s="2"/>
      <c r="C214" s="2"/>
      <c r="D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2"/>
      <c r="B215" s="2"/>
      <c r="C215" s="2"/>
      <c r="D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2"/>
      <c r="B216" s="2"/>
      <c r="C216" s="2"/>
      <c r="D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2"/>
      <c r="B217" s="2"/>
      <c r="C217" s="2"/>
      <c r="D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2"/>
      <c r="B218" s="2"/>
      <c r="C218" s="2"/>
      <c r="D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2"/>
      <c r="B219" s="2"/>
      <c r="C219" s="2"/>
      <c r="D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2"/>
      <c r="B220" s="2"/>
      <c r="C220" s="2"/>
      <c r="D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2"/>
      <c r="B221" s="2"/>
      <c r="C221" s="2"/>
      <c r="D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2"/>
      <c r="B222" s="2"/>
      <c r="C222" s="2"/>
      <c r="D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2"/>
      <c r="B223" s="2"/>
      <c r="C223" s="2"/>
      <c r="D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2"/>
      <c r="B224" s="2"/>
      <c r="C224" s="2"/>
      <c r="D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2"/>
      <c r="B225" s="2"/>
      <c r="C225" s="2"/>
      <c r="D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2"/>
      <c r="B226" s="2"/>
      <c r="C226" s="2"/>
      <c r="D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2"/>
      <c r="B227" s="2"/>
      <c r="C227" s="2"/>
      <c r="D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2"/>
      <c r="B228" s="2"/>
      <c r="C228" s="2"/>
      <c r="D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2"/>
      <c r="B229" s="2"/>
      <c r="C229" s="2"/>
      <c r="D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2"/>
      <c r="B230" s="2"/>
      <c r="C230" s="2"/>
      <c r="D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2"/>
      <c r="B231" s="2"/>
      <c r="C231" s="2"/>
      <c r="D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2"/>
      <c r="B232" s="2"/>
      <c r="C232" s="2"/>
      <c r="D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2"/>
      <c r="B233" s="2"/>
      <c r="C233" s="2"/>
      <c r="D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2"/>
      <c r="B234" s="2"/>
      <c r="C234" s="2"/>
      <c r="D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2"/>
      <c r="B235" s="2"/>
      <c r="C235" s="2"/>
      <c r="D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2"/>
      <c r="B236" s="2"/>
      <c r="C236" s="2"/>
      <c r="D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2"/>
      <c r="B237" s="2"/>
      <c r="C237" s="2"/>
      <c r="D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2"/>
      <c r="B238" s="2"/>
      <c r="C238" s="2"/>
      <c r="D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2"/>
      <c r="B239" s="2"/>
      <c r="C239" s="2"/>
      <c r="D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2"/>
      <c r="B240" s="2"/>
      <c r="C240" s="2"/>
      <c r="D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2"/>
      <c r="B241" s="2"/>
      <c r="C241" s="2"/>
      <c r="D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2"/>
      <c r="B242" s="2"/>
      <c r="C242" s="2"/>
      <c r="D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2"/>
      <c r="B243" s="2"/>
      <c r="C243" s="2"/>
      <c r="D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2"/>
      <c r="B244" s="2"/>
      <c r="C244" s="2"/>
      <c r="D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2"/>
      <c r="B245" s="2"/>
      <c r="C245" s="2"/>
      <c r="D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2"/>
      <c r="B246" s="2"/>
      <c r="C246" s="2"/>
      <c r="D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2"/>
      <c r="B247" s="2"/>
      <c r="C247" s="2"/>
      <c r="D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2"/>
      <c r="B248" s="2"/>
      <c r="C248" s="2"/>
      <c r="D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2"/>
      <c r="B249" s="2"/>
      <c r="C249" s="2"/>
      <c r="D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2"/>
      <c r="B250" s="2"/>
      <c r="C250" s="2"/>
      <c r="D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2"/>
      <c r="B251" s="2"/>
      <c r="C251" s="2"/>
      <c r="D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2"/>
      <c r="B252" s="2"/>
      <c r="C252" s="2"/>
      <c r="D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2"/>
      <c r="B253" s="2"/>
      <c r="C253" s="2"/>
      <c r="D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2"/>
      <c r="B254" s="2"/>
      <c r="C254" s="2"/>
      <c r="D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2"/>
      <c r="B255" s="2"/>
      <c r="C255" s="2"/>
      <c r="D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2"/>
      <c r="B256" s="2"/>
      <c r="C256" s="2"/>
      <c r="D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2"/>
      <c r="B257" s="2"/>
      <c r="C257" s="2"/>
      <c r="D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/>
      <c r="B258" s="2"/>
      <c r="C258" s="2"/>
      <c r="D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2"/>
      <c r="B259" s="2"/>
      <c r="C259" s="2"/>
      <c r="D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2"/>
      <c r="B260" s="2"/>
      <c r="C260" s="2"/>
      <c r="D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2"/>
      <c r="B261" s="2"/>
      <c r="C261" s="2"/>
      <c r="D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2"/>
      <c r="B262" s="2"/>
      <c r="C262" s="2"/>
      <c r="D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2"/>
      <c r="B263" s="2"/>
      <c r="C263" s="2"/>
      <c r="D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2"/>
      <c r="B264" s="2"/>
      <c r="C264" s="2"/>
      <c r="D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2"/>
      <c r="B265" s="2"/>
      <c r="C265" s="2"/>
      <c r="D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2"/>
      <c r="B266" s="2"/>
      <c r="C266" s="2"/>
      <c r="D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2"/>
      <c r="B267" s="2"/>
      <c r="C267" s="2"/>
      <c r="D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2"/>
      <c r="B268" s="2"/>
      <c r="C268" s="2"/>
      <c r="D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2"/>
      <c r="B269" s="2"/>
      <c r="C269" s="2"/>
      <c r="D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2"/>
      <c r="B270" s="2"/>
      <c r="C270" s="2"/>
      <c r="D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2"/>
      <c r="B271" s="2"/>
      <c r="C271" s="2"/>
      <c r="D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2"/>
      <c r="B272" s="2"/>
      <c r="C272" s="2"/>
      <c r="D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2"/>
      <c r="B273" s="2"/>
      <c r="C273" s="2"/>
      <c r="D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2"/>
      <c r="B274" s="2"/>
      <c r="C274" s="2"/>
      <c r="D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2"/>
      <c r="B275" s="2"/>
      <c r="C275" s="2"/>
      <c r="D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2"/>
      <c r="B276" s="2"/>
      <c r="C276" s="2"/>
      <c r="D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2"/>
      <c r="B277" s="2"/>
      <c r="C277" s="2"/>
      <c r="D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2"/>
      <c r="B278" s="2"/>
      <c r="C278" s="2"/>
      <c r="D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2"/>
      <c r="B279" s="2"/>
      <c r="C279" s="2"/>
      <c r="D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2"/>
      <c r="B280" s="2"/>
      <c r="C280" s="2"/>
      <c r="D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2"/>
      <c r="B281" s="2"/>
      <c r="C281" s="2"/>
      <c r="D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2"/>
      <c r="B282" s="2"/>
      <c r="C282" s="2"/>
      <c r="D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2"/>
      <c r="B283" s="2"/>
      <c r="C283" s="2"/>
      <c r="D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2"/>
      <c r="B284" s="2"/>
      <c r="C284" s="2"/>
      <c r="D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2"/>
      <c r="B285" s="2"/>
      <c r="C285" s="2"/>
      <c r="D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2"/>
      <c r="B286" s="2"/>
      <c r="C286" s="2"/>
      <c r="D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2"/>
      <c r="B287" s="2"/>
      <c r="C287" s="2"/>
      <c r="D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>
      <c r="A288" s="2"/>
      <c r="B288" s="2"/>
      <c r="C288" s="2"/>
      <c r="D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>
      <c r="A289" s="2"/>
      <c r="B289" s="2"/>
      <c r="C289" s="2"/>
      <c r="D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>
      <c r="A290" s="2"/>
      <c r="B290" s="2"/>
      <c r="C290" s="2"/>
      <c r="D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>
      <c r="A291" s="2"/>
      <c r="B291" s="2"/>
      <c r="C291" s="2"/>
      <c r="D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>
      <c r="A292" s="2"/>
      <c r="B292" s="2"/>
      <c r="C292" s="2"/>
      <c r="D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>
      <c r="A293" s="2"/>
      <c r="B293" s="2"/>
      <c r="C293" s="2"/>
      <c r="D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>
      <c r="A294" s="2"/>
      <c r="B294" s="2"/>
      <c r="C294" s="2"/>
      <c r="D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>
      <c r="A295" s="2"/>
      <c r="B295" s="2"/>
      <c r="C295" s="2"/>
      <c r="D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>
      <c r="A296" s="2"/>
      <c r="B296" s="2"/>
      <c r="C296" s="2"/>
      <c r="D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>
      <c r="A297" s="2"/>
      <c r="B297" s="2"/>
      <c r="C297" s="2"/>
      <c r="D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>
      <c r="A298" s="2"/>
      <c r="B298" s="2"/>
      <c r="C298" s="2"/>
      <c r="D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>
      <c r="A299" s="2"/>
      <c r="B299" s="2"/>
      <c r="C299" s="2"/>
      <c r="D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>
      <c r="A300" s="2"/>
      <c r="B300" s="2"/>
      <c r="C300" s="2"/>
      <c r="D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>
      <c r="A301" s="2"/>
      <c r="B301" s="2"/>
      <c r="C301" s="2"/>
      <c r="D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>
      <c r="A302" s="2"/>
      <c r="B302" s="2"/>
      <c r="C302" s="2"/>
      <c r="D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>
      <c r="A303" s="2"/>
      <c r="B303" s="2"/>
      <c r="C303" s="2"/>
      <c r="D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>
      <c r="A304" s="2"/>
      <c r="B304" s="2"/>
      <c r="C304" s="2"/>
      <c r="D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>
      <c r="A305" s="2"/>
      <c r="B305" s="2"/>
      <c r="C305" s="2"/>
      <c r="D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>
      <c r="A306" s="2"/>
      <c r="B306" s="2"/>
      <c r="C306" s="2"/>
      <c r="D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>
      <c r="A307" s="2"/>
      <c r="B307" s="2"/>
      <c r="C307" s="2"/>
      <c r="D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>
      <c r="A308" s="2"/>
      <c r="B308" s="2"/>
      <c r="C308" s="2"/>
      <c r="D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>
      <c r="A309" s="2"/>
      <c r="B309" s="2"/>
      <c r="C309" s="2"/>
      <c r="D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>
      <c r="A310" s="2"/>
      <c r="B310" s="2"/>
      <c r="C310" s="2"/>
      <c r="D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>
      <c r="A311" s="2"/>
      <c r="B311" s="2"/>
      <c r="C311" s="2"/>
      <c r="D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>
      <c r="A312" s="2"/>
      <c r="B312" s="2"/>
      <c r="C312" s="2"/>
      <c r="D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>
      <c r="A313" s="2"/>
      <c r="B313" s="2"/>
      <c r="C313" s="2"/>
      <c r="D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>
      <c r="A314" s="2"/>
      <c r="B314" s="2"/>
      <c r="C314" s="2"/>
      <c r="D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>
      <c r="A315" s="2"/>
      <c r="B315" s="2"/>
      <c r="C315" s="2"/>
      <c r="D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>
      <c r="A316" s="2"/>
      <c r="B316" s="2"/>
      <c r="C316" s="2"/>
      <c r="D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>
      <c r="A317" s="2"/>
      <c r="B317" s="2"/>
      <c r="C317" s="2"/>
      <c r="D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>
      <c r="A318" s="2"/>
      <c r="B318" s="2"/>
      <c r="C318" s="2"/>
      <c r="D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>
      <c r="A319" s="2"/>
      <c r="B319" s="2"/>
      <c r="C319" s="2"/>
      <c r="D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>
      <c r="A320" s="2"/>
      <c r="B320" s="2"/>
      <c r="C320" s="2"/>
      <c r="D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>
      <c r="A321" s="2"/>
      <c r="B321" s="2"/>
      <c r="C321" s="2"/>
      <c r="D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>
      <c r="A322" s="2"/>
      <c r="B322" s="2"/>
      <c r="C322" s="2"/>
      <c r="D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>
      <c r="A323" s="2"/>
      <c r="B323" s="2"/>
      <c r="C323" s="2"/>
      <c r="D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>
      <c r="A324" s="2"/>
      <c r="B324" s="2"/>
      <c r="C324" s="2"/>
      <c r="D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>
      <c r="A325" s="2"/>
      <c r="B325" s="2"/>
      <c r="C325" s="2"/>
      <c r="D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>
      <c r="A326" s="2"/>
      <c r="B326" s="2"/>
      <c r="C326" s="2"/>
      <c r="D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2"/>
      <c r="B327" s="2"/>
      <c r="C327" s="2"/>
      <c r="D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2"/>
      <c r="B328" s="2"/>
      <c r="C328" s="2"/>
      <c r="D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2"/>
      <c r="B329" s="2"/>
      <c r="C329" s="2"/>
      <c r="D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2"/>
      <c r="B330" s="2"/>
      <c r="C330" s="2"/>
      <c r="D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2"/>
      <c r="B331" s="2"/>
      <c r="C331" s="2"/>
      <c r="D331" s="3"/>
      <c r="E331" s="3"/>
      <c r="F331" s="3"/>
      <c r="G331" s="3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2"/>
      <c r="B332" s="2"/>
      <c r="C332" s="2"/>
      <c r="D332" s="3"/>
      <c r="E332" s="3"/>
      <c r="F332" s="3"/>
      <c r="G332" s="3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2"/>
      <c r="B333" s="2"/>
      <c r="C333" s="2"/>
      <c r="D333" s="3"/>
      <c r="E333" s="3"/>
      <c r="F333" s="3"/>
      <c r="G333" s="3"/>
      <c r="H333" s="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2"/>
      <c r="B334" s="2"/>
      <c r="C334" s="2"/>
      <c r="D334" s="3"/>
      <c r="E334" s="3"/>
      <c r="F334" s="3"/>
      <c r="G334" s="3"/>
      <c r="H334" s="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2"/>
      <c r="B335" s="2"/>
      <c r="C335" s="2"/>
      <c r="D335" s="3"/>
      <c r="E335" s="3"/>
      <c r="F335" s="3"/>
      <c r="G335" s="3"/>
      <c r="H335" s="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2"/>
      <c r="B336" s="2"/>
      <c r="C336" s="2"/>
      <c r="D336" s="3"/>
      <c r="E336" s="3"/>
      <c r="F336" s="3"/>
      <c r="G336" s="3"/>
      <c r="H336" s="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2"/>
      <c r="B337" s="2"/>
      <c r="C337" s="2"/>
      <c r="D337" s="3"/>
      <c r="E337" s="3"/>
      <c r="F337" s="3"/>
      <c r="G337" s="3"/>
      <c r="H337" s="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2"/>
      <c r="B338" s="2"/>
      <c r="C338" s="2"/>
      <c r="D338" s="3"/>
      <c r="E338" s="3"/>
      <c r="F338" s="3"/>
      <c r="G338" s="3"/>
      <c r="H338" s="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2"/>
      <c r="B339" s="2"/>
      <c r="C339" s="2"/>
      <c r="D339" s="3"/>
      <c r="E339" s="3"/>
      <c r="F339" s="3"/>
      <c r="G339" s="3"/>
      <c r="H339" s="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2"/>
      <c r="B340" s="2"/>
      <c r="C340" s="2"/>
      <c r="D340" s="3"/>
      <c r="E340" s="3"/>
      <c r="F340" s="3"/>
      <c r="G340" s="3"/>
      <c r="H340" s="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2"/>
      <c r="B341" s="2"/>
      <c r="C341" s="2"/>
      <c r="D341" s="3"/>
      <c r="E341" s="3"/>
      <c r="F341" s="3"/>
      <c r="G341" s="3"/>
      <c r="H341" s="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2"/>
      <c r="B342" s="2"/>
      <c r="C342" s="2"/>
      <c r="D342" s="3"/>
      <c r="E342" s="3"/>
      <c r="F342" s="3"/>
      <c r="G342" s="3"/>
      <c r="H342" s="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>
      <c r="A343" s="2"/>
      <c r="B343" s="2"/>
      <c r="C343" s="2"/>
      <c r="D343" s="3"/>
      <c r="E343" s="3"/>
      <c r="F343" s="3"/>
      <c r="G343" s="3"/>
      <c r="H343" s="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>
      <c r="A344" s="2"/>
      <c r="B344" s="2"/>
      <c r="C344" s="2"/>
      <c r="D344" s="3"/>
      <c r="E344" s="3"/>
      <c r="F344" s="3"/>
      <c r="G344" s="3"/>
      <c r="H344" s="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>
      <c r="A345" s="2"/>
      <c r="B345" s="2"/>
      <c r="C345" s="2"/>
      <c r="D345" s="3"/>
      <c r="E345" s="3"/>
      <c r="F345" s="3"/>
      <c r="G345" s="3"/>
      <c r="H345" s="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>
      <c r="A346" s="2"/>
      <c r="B346" s="2"/>
      <c r="C346" s="2"/>
      <c r="D346" s="3"/>
      <c r="E346" s="3"/>
      <c r="F346" s="3"/>
      <c r="G346" s="3"/>
      <c r="H346" s="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>
      <c r="A347" s="2"/>
      <c r="B347" s="2"/>
      <c r="C347" s="2"/>
      <c r="D347" s="3"/>
      <c r="E347" s="3"/>
      <c r="F347" s="3"/>
      <c r="G347" s="3"/>
      <c r="H347" s="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>
      <c r="A348" s="2"/>
      <c r="B348" s="2"/>
      <c r="C348" s="2"/>
      <c r="D348" s="3"/>
      <c r="E348" s="3"/>
      <c r="F348" s="3"/>
      <c r="G348" s="3"/>
      <c r="H348" s="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>
      <c r="A349" s="2"/>
      <c r="B349" s="2"/>
      <c r="C349" s="2"/>
      <c r="D349" s="3"/>
      <c r="E349" s="3"/>
      <c r="F349" s="3"/>
      <c r="G349" s="3"/>
      <c r="H349" s="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>
      <c r="A350" s="2"/>
      <c r="B350" s="2"/>
      <c r="C350" s="2"/>
      <c r="D350" s="3"/>
      <c r="E350" s="3"/>
      <c r="F350" s="3"/>
      <c r="G350" s="3"/>
      <c r="H350" s="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>
      <c r="A351" s="2"/>
      <c r="B351" s="2"/>
      <c r="C351" s="2"/>
      <c r="D351" s="3"/>
      <c r="E351" s="3"/>
      <c r="F351" s="3"/>
      <c r="G351" s="3"/>
      <c r="H351" s="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>
      <c r="A352" s="2"/>
      <c r="B352" s="2"/>
      <c r="C352" s="2"/>
      <c r="D352" s="3"/>
      <c r="E352" s="3"/>
      <c r="F352" s="3"/>
      <c r="G352" s="3"/>
      <c r="H352" s="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>
      <c r="A353" s="2"/>
      <c r="B353" s="2"/>
      <c r="C353" s="2"/>
      <c r="D353" s="3"/>
      <c r="E353" s="3"/>
      <c r="F353" s="3"/>
      <c r="G353" s="3"/>
      <c r="H353" s="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>
      <c r="A354" s="2"/>
      <c r="B354" s="2"/>
      <c r="C354" s="2"/>
      <c r="D354" s="3"/>
      <c r="E354" s="3"/>
      <c r="F354" s="3"/>
      <c r="G354" s="3"/>
      <c r="H354" s="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>
      <c r="A355" s="2"/>
      <c r="B355" s="2"/>
      <c r="C355" s="2"/>
      <c r="D355" s="3"/>
      <c r="E355" s="3"/>
      <c r="F355" s="3"/>
      <c r="G355" s="3"/>
      <c r="H355" s="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>
      <c r="A356" s="2"/>
      <c r="B356" s="2"/>
      <c r="C356" s="2"/>
      <c r="D356" s="3"/>
      <c r="E356" s="3"/>
      <c r="F356" s="3"/>
      <c r="G356" s="3"/>
      <c r="H356" s="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>
      <c r="A357" s="2"/>
      <c r="B357" s="2"/>
      <c r="C357" s="2"/>
      <c r="D357" s="3"/>
      <c r="E357" s="3"/>
      <c r="F357" s="3"/>
      <c r="G357" s="3"/>
      <c r="H357" s="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>
      <c r="A358" s="2"/>
      <c r="B358" s="2"/>
      <c r="C358" s="2"/>
      <c r="D358" s="3"/>
      <c r="E358" s="3"/>
      <c r="F358" s="3"/>
      <c r="G358" s="3"/>
      <c r="H358" s="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>
      <c r="A359" s="2"/>
      <c r="B359" s="2"/>
      <c r="C359" s="2"/>
      <c r="D359" s="3"/>
      <c r="E359" s="3"/>
      <c r="F359" s="3"/>
      <c r="G359" s="3"/>
      <c r="H359" s="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>
      <c r="A360" s="2"/>
      <c r="B360" s="2"/>
      <c r="C360" s="2"/>
      <c r="D360" s="3"/>
      <c r="E360" s="3"/>
      <c r="F360" s="3"/>
      <c r="G360" s="3"/>
      <c r="H360" s="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>
      <c r="A361" s="2"/>
      <c r="B361" s="2"/>
      <c r="C361" s="2"/>
      <c r="D361" s="3"/>
      <c r="E361" s="3"/>
      <c r="F361" s="3"/>
      <c r="G361" s="3"/>
      <c r="H361" s="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>
      <c r="A362" s="2"/>
      <c r="B362" s="2"/>
      <c r="C362" s="2"/>
      <c r="D362" s="3"/>
      <c r="E362" s="3"/>
      <c r="F362" s="3"/>
      <c r="G362" s="3"/>
      <c r="H362" s="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>
      <c r="A363" s="2"/>
      <c r="B363" s="2"/>
      <c r="C363" s="2"/>
      <c r="D363" s="3"/>
      <c r="E363" s="3"/>
      <c r="F363" s="3"/>
      <c r="G363" s="3"/>
      <c r="H363" s="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>
      <c r="A364" s="2"/>
      <c r="B364" s="2"/>
      <c r="C364" s="2"/>
      <c r="D364" s="3"/>
      <c r="E364" s="3"/>
      <c r="F364" s="3"/>
      <c r="G364" s="3"/>
      <c r="H364" s="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>
      <c r="A365" s="2"/>
      <c r="B365" s="2"/>
      <c r="C365" s="2"/>
      <c r="D365" s="3"/>
      <c r="E365" s="3"/>
      <c r="F365" s="3"/>
      <c r="G365" s="3"/>
      <c r="H365" s="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>
      <c r="A366" s="2"/>
      <c r="B366" s="2"/>
      <c r="C366" s="2"/>
      <c r="D366" s="3"/>
      <c r="E366" s="3"/>
      <c r="F366" s="3"/>
      <c r="G366" s="3"/>
      <c r="H366" s="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>
      <c r="A367" s="2"/>
      <c r="B367" s="2"/>
      <c r="C367" s="2"/>
      <c r="D367" s="3"/>
      <c r="E367" s="3"/>
      <c r="F367" s="3"/>
      <c r="G367" s="3"/>
      <c r="H367" s="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>
      <c r="A368" s="2"/>
      <c r="B368" s="2"/>
      <c r="C368" s="2"/>
      <c r="D368" s="3"/>
      <c r="E368" s="3"/>
      <c r="F368" s="3"/>
      <c r="G368" s="3"/>
      <c r="H368" s="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>
      <c r="A369" s="2"/>
      <c r="B369" s="2"/>
      <c r="C369" s="2"/>
      <c r="D369" s="3"/>
      <c r="E369" s="3"/>
      <c r="F369" s="3"/>
      <c r="G369" s="3"/>
      <c r="H369" s="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>
      <c r="A370" s="2"/>
      <c r="B370" s="2"/>
      <c r="C370" s="2"/>
      <c r="D370" s="3"/>
      <c r="E370" s="3"/>
      <c r="F370" s="3"/>
      <c r="G370" s="3"/>
      <c r="H370" s="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>
      <c r="A371" s="2"/>
      <c r="B371" s="2"/>
      <c r="C371" s="2"/>
      <c r="D371" s="3"/>
      <c r="E371" s="3"/>
      <c r="F371" s="3"/>
      <c r="G371" s="3"/>
      <c r="H371" s="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>
      <c r="A372" s="2"/>
      <c r="B372" s="2"/>
      <c r="C372" s="2"/>
      <c r="D372" s="3"/>
      <c r="E372" s="3"/>
      <c r="F372" s="3"/>
      <c r="G372" s="3"/>
      <c r="H372" s="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>
      <c r="A373" s="2"/>
      <c r="B373" s="2"/>
      <c r="C373" s="2"/>
      <c r="D373" s="3"/>
      <c r="E373" s="3"/>
      <c r="F373" s="3"/>
      <c r="G373" s="3"/>
      <c r="H373" s="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>
      <c r="A374" s="2"/>
      <c r="B374" s="2"/>
      <c r="C374" s="2"/>
      <c r="D374" s="3"/>
      <c r="E374" s="3"/>
      <c r="F374" s="3"/>
      <c r="G374" s="3"/>
      <c r="H374" s="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>
      <c r="A375" s="2"/>
      <c r="B375" s="2"/>
      <c r="C375" s="2"/>
      <c r="D375" s="3"/>
      <c r="E375" s="3"/>
      <c r="F375" s="3"/>
      <c r="G375" s="3"/>
      <c r="H375" s="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>
      <c r="A376" s="2"/>
      <c r="B376" s="2"/>
      <c r="C376" s="2"/>
      <c r="D376" s="3"/>
      <c r="E376" s="3"/>
      <c r="F376" s="3"/>
      <c r="G376" s="3"/>
      <c r="H376" s="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>
      <c r="A377" s="2"/>
      <c r="B377" s="2"/>
      <c r="C377" s="2"/>
      <c r="D377" s="3"/>
      <c r="E377" s="3"/>
      <c r="F377" s="3"/>
      <c r="G377" s="3"/>
      <c r="H377" s="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>
      <c r="A378" s="2"/>
      <c r="B378" s="2"/>
      <c r="C378" s="2"/>
      <c r="D378" s="3"/>
      <c r="E378" s="3"/>
      <c r="F378" s="3"/>
      <c r="G378" s="3"/>
      <c r="H378" s="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>
      <c r="A379" s="2"/>
      <c r="B379" s="2"/>
      <c r="C379" s="2"/>
      <c r="D379" s="3"/>
      <c r="E379" s="3"/>
      <c r="F379" s="3"/>
      <c r="G379" s="3"/>
      <c r="H379" s="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>
      <c r="A380" s="2"/>
      <c r="B380" s="2"/>
      <c r="C380" s="2"/>
      <c r="D380" s="3"/>
      <c r="E380" s="3"/>
      <c r="F380" s="3"/>
      <c r="G380" s="3"/>
      <c r="H380" s="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>
      <c r="A381" s="2"/>
      <c r="B381" s="2"/>
      <c r="C381" s="2"/>
      <c r="D381" s="3"/>
      <c r="E381" s="3"/>
      <c r="F381" s="3"/>
      <c r="G381" s="3"/>
      <c r="H381" s="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>
      <c r="A382" s="2"/>
      <c r="B382" s="2"/>
      <c r="C382" s="2"/>
      <c r="D382" s="3"/>
      <c r="E382" s="3"/>
      <c r="F382" s="3"/>
      <c r="G382" s="3"/>
      <c r="H382" s="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>
      <c r="A383" s="2"/>
      <c r="B383" s="2"/>
      <c r="C383" s="2"/>
      <c r="D383" s="3"/>
      <c r="E383" s="3"/>
      <c r="F383" s="3"/>
      <c r="G383" s="3"/>
      <c r="H383" s="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>
      <c r="A384" s="2"/>
      <c r="B384" s="2"/>
      <c r="C384" s="2"/>
      <c r="D384" s="3"/>
      <c r="E384" s="3"/>
      <c r="F384" s="3"/>
      <c r="G384" s="3"/>
      <c r="H384" s="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>
      <c r="A385" s="2"/>
      <c r="B385" s="2"/>
      <c r="C385" s="2"/>
      <c r="D385" s="3"/>
      <c r="E385" s="3"/>
      <c r="F385" s="3"/>
      <c r="G385" s="3"/>
      <c r="H385" s="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>
      <c r="A386" s="2"/>
      <c r="B386" s="2"/>
      <c r="C386" s="2"/>
      <c r="D386" s="3"/>
      <c r="E386" s="3"/>
      <c r="F386" s="3"/>
      <c r="G386" s="3"/>
      <c r="H386" s="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>
      <c r="A387" s="2"/>
      <c r="B387" s="2"/>
      <c r="C387" s="2"/>
      <c r="D387" s="3"/>
      <c r="E387" s="3"/>
      <c r="F387" s="3"/>
      <c r="G387" s="3"/>
      <c r="H387" s="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>
      <c r="A388" s="2"/>
      <c r="B388" s="2"/>
      <c r="C388" s="2"/>
      <c r="D388" s="3"/>
      <c r="E388" s="3"/>
      <c r="F388" s="3"/>
      <c r="G388" s="3"/>
      <c r="H388" s="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>
      <c r="A389" s="2"/>
      <c r="B389" s="2"/>
      <c r="C389" s="2"/>
      <c r="D389" s="3"/>
      <c r="E389" s="3"/>
      <c r="F389" s="3"/>
      <c r="G389" s="3"/>
      <c r="H389" s="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>
      <c r="A390" s="2"/>
      <c r="B390" s="2"/>
      <c r="C390" s="2"/>
      <c r="D390" s="3"/>
      <c r="E390" s="3"/>
      <c r="F390" s="3"/>
      <c r="G390" s="3"/>
      <c r="H390" s="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>
      <c r="A391" s="2"/>
      <c r="B391" s="2"/>
      <c r="C391" s="2"/>
      <c r="D391" s="3"/>
      <c r="E391" s="3"/>
      <c r="F391" s="3"/>
      <c r="G391" s="3"/>
      <c r="H391" s="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>
      <c r="A392" s="2"/>
      <c r="B392" s="2"/>
      <c r="C392" s="2"/>
      <c r="D392" s="3"/>
      <c r="E392" s="3"/>
      <c r="F392" s="3"/>
      <c r="G392" s="3"/>
      <c r="H392" s="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>
      <c r="A393" s="2"/>
      <c r="B393" s="2"/>
      <c r="C393" s="2"/>
      <c r="D393" s="3"/>
      <c r="E393" s="3"/>
      <c r="F393" s="3"/>
      <c r="G393" s="3"/>
      <c r="H393" s="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>
      <c r="A394" s="2"/>
      <c r="B394" s="2"/>
      <c r="C394" s="2"/>
      <c r="D394" s="3"/>
      <c r="E394" s="3"/>
      <c r="F394" s="3"/>
      <c r="G394" s="3"/>
      <c r="H394" s="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>
      <c r="A395" s="2"/>
      <c r="B395" s="2"/>
      <c r="C395" s="2"/>
      <c r="D395" s="3"/>
      <c r="E395" s="3"/>
      <c r="F395" s="3"/>
      <c r="G395" s="3"/>
      <c r="H395" s="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>
      <c r="A396" s="2"/>
      <c r="B396" s="2"/>
      <c r="C396" s="2"/>
      <c r="D396" s="3"/>
      <c r="E396" s="3"/>
      <c r="F396" s="3"/>
      <c r="G396" s="3"/>
      <c r="H396" s="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>
      <c r="A397" s="2"/>
      <c r="B397" s="2"/>
      <c r="C397" s="2"/>
      <c r="D397" s="3"/>
      <c r="E397" s="3"/>
      <c r="F397" s="3"/>
      <c r="G397" s="3"/>
      <c r="H397" s="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>
      <c r="A398" s="2"/>
      <c r="B398" s="2"/>
      <c r="C398" s="2"/>
      <c r="D398" s="3"/>
      <c r="E398" s="3"/>
      <c r="F398" s="3"/>
      <c r="G398" s="3"/>
      <c r="H398" s="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>
      <c r="A399" s="2"/>
      <c r="B399" s="2"/>
      <c r="C399" s="2"/>
      <c r="D399" s="3"/>
      <c r="E399" s="3"/>
      <c r="F399" s="3"/>
      <c r="G399" s="3"/>
      <c r="H399" s="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>
      <c r="A400" s="2"/>
      <c r="B400" s="2"/>
      <c r="C400" s="2"/>
      <c r="D400" s="3"/>
      <c r="E400" s="3"/>
      <c r="F400" s="3"/>
      <c r="G400" s="3"/>
      <c r="H400" s="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>
      <c r="A401" s="2"/>
      <c r="B401" s="2"/>
      <c r="C401" s="2"/>
      <c r="D401" s="3"/>
      <c r="E401" s="3"/>
      <c r="F401" s="3"/>
      <c r="G401" s="3"/>
      <c r="H401" s="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>
      <c r="A402" s="2"/>
      <c r="B402" s="2"/>
      <c r="C402" s="2"/>
      <c r="D402" s="3"/>
      <c r="E402" s="3"/>
      <c r="F402" s="3"/>
      <c r="G402" s="3"/>
      <c r="H402" s="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>
      <c r="A403" s="2"/>
      <c r="B403" s="2"/>
      <c r="C403" s="2"/>
      <c r="D403" s="3"/>
      <c r="E403" s="3"/>
      <c r="F403" s="3"/>
      <c r="G403" s="3"/>
      <c r="H403" s="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>
      <c r="A404" s="2"/>
      <c r="B404" s="2"/>
      <c r="C404" s="2"/>
      <c r="D404" s="3"/>
      <c r="E404" s="3"/>
      <c r="F404" s="3"/>
      <c r="G404" s="3"/>
      <c r="H404" s="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>
      <c r="A405" s="2"/>
      <c r="B405" s="2"/>
      <c r="C405" s="2"/>
      <c r="D405" s="3"/>
      <c r="E405" s="3"/>
      <c r="F405" s="3"/>
      <c r="G405" s="3"/>
      <c r="H405" s="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>
      <c r="A406" s="2"/>
      <c r="B406" s="2"/>
      <c r="C406" s="2"/>
      <c r="D406" s="3"/>
      <c r="E406" s="3"/>
      <c r="F406" s="3"/>
      <c r="G406" s="3"/>
      <c r="H406" s="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>
      <c r="A407" s="2"/>
      <c r="B407" s="2"/>
      <c r="C407" s="2"/>
      <c r="D407" s="3"/>
      <c r="E407" s="3"/>
      <c r="F407" s="3"/>
      <c r="G407" s="3"/>
      <c r="H407" s="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>
      <c r="A408" s="2"/>
      <c r="B408" s="2"/>
      <c r="C408" s="2"/>
      <c r="D408" s="3"/>
      <c r="E408" s="3"/>
      <c r="F408" s="3"/>
      <c r="G408" s="3"/>
      <c r="H408" s="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>
      <c r="A409" s="2"/>
      <c r="B409" s="2"/>
      <c r="C409" s="2"/>
      <c r="D409" s="3"/>
      <c r="E409" s="3"/>
      <c r="F409" s="3"/>
      <c r="G409" s="3"/>
      <c r="H409" s="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>
      <c r="A410" s="2"/>
      <c r="B410" s="2"/>
      <c r="C410" s="2"/>
      <c r="D410" s="3"/>
      <c r="E410" s="3"/>
      <c r="F410" s="3"/>
      <c r="G410" s="3"/>
      <c r="H410" s="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>
      <c r="A411" s="2"/>
      <c r="B411" s="2"/>
      <c r="C411" s="2"/>
      <c r="D411" s="3"/>
      <c r="E411" s="3"/>
      <c r="F411" s="3"/>
      <c r="G411" s="3"/>
      <c r="H411" s="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>
      <c r="A412" s="2"/>
      <c r="B412" s="2"/>
      <c r="C412" s="2"/>
      <c r="D412" s="3"/>
      <c r="E412" s="3"/>
      <c r="F412" s="3"/>
      <c r="G412" s="3"/>
      <c r="H412" s="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>
      <c r="A413" s="2"/>
      <c r="B413" s="2"/>
      <c r="C413" s="2"/>
      <c r="D413" s="3"/>
      <c r="E413" s="3"/>
      <c r="F413" s="3"/>
      <c r="G413" s="3"/>
      <c r="H413" s="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>
      <c r="A414" s="2"/>
      <c r="B414" s="2"/>
      <c r="C414" s="2"/>
      <c r="D414" s="3"/>
      <c r="E414" s="3"/>
      <c r="F414" s="3"/>
      <c r="G414" s="3"/>
      <c r="H414" s="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>
      <c r="A415" s="2"/>
      <c r="B415" s="2"/>
      <c r="C415" s="2"/>
      <c r="D415" s="3"/>
      <c r="E415" s="3"/>
      <c r="F415" s="3"/>
      <c r="G415" s="3"/>
      <c r="H415" s="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>
      <c r="A416" s="2"/>
      <c r="B416" s="2"/>
      <c r="C416" s="2"/>
      <c r="D416" s="3"/>
      <c r="E416" s="3"/>
      <c r="F416" s="3"/>
      <c r="G416" s="3"/>
      <c r="H416" s="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>
      <c r="A417" s="2"/>
      <c r="B417" s="2"/>
      <c r="C417" s="2"/>
      <c r="D417" s="3"/>
      <c r="E417" s="3"/>
      <c r="F417" s="3"/>
      <c r="G417" s="3"/>
      <c r="H417" s="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>
      <c r="A418" s="2"/>
      <c r="B418" s="2"/>
      <c r="C418" s="2"/>
      <c r="D418" s="3"/>
      <c r="E418" s="3"/>
      <c r="F418" s="3"/>
      <c r="G418" s="3"/>
      <c r="H418" s="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>
      <c r="A419" s="2"/>
      <c r="B419" s="2"/>
      <c r="C419" s="2"/>
      <c r="D419" s="3"/>
      <c r="E419" s="3"/>
      <c r="F419" s="3"/>
      <c r="G419" s="3"/>
      <c r="H419" s="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>
      <c r="A420" s="2"/>
      <c r="B420" s="2"/>
      <c r="C420" s="2"/>
      <c r="D420" s="3"/>
      <c r="E420" s="3"/>
      <c r="F420" s="3"/>
      <c r="G420" s="3"/>
      <c r="H420" s="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>
      <c r="A421" s="2"/>
      <c r="B421" s="2"/>
      <c r="C421" s="2"/>
      <c r="D421" s="3"/>
      <c r="E421" s="3"/>
      <c r="F421" s="3"/>
      <c r="G421" s="3"/>
      <c r="H421" s="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>
      <c r="A422" s="2"/>
      <c r="B422" s="2"/>
      <c r="C422" s="2"/>
      <c r="D422" s="3"/>
      <c r="E422" s="3"/>
      <c r="F422" s="3"/>
      <c r="G422" s="3"/>
      <c r="H422" s="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>
      <c r="A423" s="2"/>
      <c r="B423" s="2"/>
      <c r="C423" s="2"/>
      <c r="D423" s="3"/>
      <c r="E423" s="3"/>
      <c r="F423" s="3"/>
      <c r="G423" s="3"/>
      <c r="H423" s="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>
      <c r="A424" s="2"/>
      <c r="B424" s="2"/>
      <c r="C424" s="2"/>
      <c r="D424" s="3"/>
      <c r="E424" s="3"/>
      <c r="F424" s="3"/>
      <c r="G424" s="3"/>
      <c r="H424" s="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>
      <c r="A425" s="2"/>
      <c r="B425" s="2"/>
      <c r="C425" s="2"/>
      <c r="D425" s="3"/>
      <c r="E425" s="3"/>
      <c r="F425" s="3"/>
      <c r="G425" s="3"/>
      <c r="H425" s="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>
      <c r="A426" s="2"/>
      <c r="B426" s="2"/>
      <c r="C426" s="2"/>
      <c r="D426" s="3"/>
      <c r="E426" s="3"/>
      <c r="F426" s="3"/>
      <c r="G426" s="3"/>
      <c r="H426" s="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>
      <c r="A427" s="2"/>
      <c r="B427" s="2"/>
      <c r="C427" s="2"/>
      <c r="D427" s="3"/>
      <c r="E427" s="3"/>
      <c r="F427" s="3"/>
      <c r="G427" s="3"/>
      <c r="H427" s="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>
      <c r="A428" s="2"/>
      <c r="B428" s="2"/>
      <c r="C428" s="2"/>
      <c r="D428" s="3"/>
      <c r="E428" s="3"/>
      <c r="F428" s="3"/>
      <c r="G428" s="3"/>
      <c r="H428" s="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>
      <c r="A429" s="2"/>
      <c r="B429" s="2"/>
      <c r="C429" s="2"/>
      <c r="D429" s="3"/>
      <c r="E429" s="3"/>
      <c r="F429" s="3"/>
      <c r="G429" s="3"/>
      <c r="H429" s="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>
      <c r="A430" s="2"/>
      <c r="B430" s="2"/>
      <c r="C430" s="2"/>
      <c r="D430" s="3"/>
      <c r="E430" s="3"/>
      <c r="F430" s="3"/>
      <c r="G430" s="3"/>
      <c r="H430" s="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>
      <c r="A431" s="2"/>
      <c r="B431" s="2"/>
      <c r="C431" s="2"/>
      <c r="D431" s="3"/>
      <c r="E431" s="3"/>
      <c r="F431" s="3"/>
      <c r="G431" s="3"/>
      <c r="H431" s="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>
      <c r="A432" s="2"/>
      <c r="B432" s="2"/>
      <c r="C432" s="2"/>
      <c r="D432" s="3"/>
      <c r="E432" s="3"/>
      <c r="F432" s="3"/>
      <c r="G432" s="3"/>
      <c r="H432" s="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>
      <c r="A433" s="2"/>
      <c r="B433" s="2"/>
      <c r="C433" s="2"/>
      <c r="D433" s="3"/>
      <c r="E433" s="3"/>
      <c r="F433" s="3"/>
      <c r="G433" s="3"/>
      <c r="H433" s="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>
      <c r="A434" s="2"/>
      <c r="B434" s="2"/>
      <c r="C434" s="2"/>
      <c r="D434" s="3"/>
      <c r="E434" s="3"/>
      <c r="F434" s="3"/>
      <c r="G434" s="3"/>
      <c r="H434" s="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>
      <c r="A435" s="2"/>
      <c r="B435" s="2"/>
      <c r="C435" s="2"/>
      <c r="D435" s="3"/>
      <c r="E435" s="3"/>
      <c r="F435" s="3"/>
      <c r="G435" s="3"/>
      <c r="H435" s="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>
      <c r="A436" s="2"/>
      <c r="B436" s="2"/>
      <c r="C436" s="2"/>
      <c r="D436" s="3"/>
      <c r="E436" s="3"/>
      <c r="F436" s="3"/>
      <c r="G436" s="3"/>
      <c r="H436" s="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>
      <c r="A437" s="2"/>
      <c r="B437" s="2"/>
      <c r="C437" s="2"/>
      <c r="D437" s="3"/>
      <c r="E437" s="3"/>
      <c r="F437" s="3"/>
      <c r="G437" s="3"/>
      <c r="H437" s="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>
      <c r="A438" s="2"/>
      <c r="B438" s="2"/>
      <c r="C438" s="2"/>
      <c r="D438" s="3"/>
      <c r="E438" s="3"/>
      <c r="F438" s="3"/>
      <c r="G438" s="3"/>
      <c r="H438" s="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>
      <c r="A439" s="2"/>
      <c r="B439" s="2"/>
      <c r="C439" s="2"/>
      <c r="D439" s="3"/>
      <c r="E439" s="3"/>
      <c r="F439" s="3"/>
      <c r="G439" s="3"/>
      <c r="H439" s="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>
      <c r="A440" s="2"/>
      <c r="B440" s="2"/>
      <c r="C440" s="2"/>
      <c r="D440" s="3"/>
      <c r="E440" s="3"/>
      <c r="F440" s="3"/>
      <c r="G440" s="3"/>
      <c r="H440" s="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>
      <c r="A441" s="2"/>
      <c r="B441" s="2"/>
      <c r="C441" s="2"/>
      <c r="D441" s="3"/>
      <c r="E441" s="3"/>
      <c r="F441" s="3"/>
      <c r="G441" s="3"/>
      <c r="H441" s="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>
      <c r="A442" s="2"/>
      <c r="B442" s="2"/>
      <c r="C442" s="2"/>
      <c r="D442" s="3"/>
      <c r="E442" s="3"/>
      <c r="F442" s="3"/>
      <c r="G442" s="3"/>
      <c r="H442" s="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>
      <c r="A443" s="2"/>
      <c r="B443" s="2"/>
      <c r="C443" s="2"/>
      <c r="D443" s="3"/>
      <c r="E443" s="3"/>
      <c r="F443" s="3"/>
      <c r="G443" s="3"/>
      <c r="H443" s="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>
      <c r="A444" s="2"/>
      <c r="B444" s="2"/>
      <c r="C444" s="2"/>
      <c r="D444" s="3"/>
      <c r="E444" s="3"/>
      <c r="F444" s="3"/>
      <c r="G444" s="3"/>
      <c r="H444" s="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>
      <c r="A445" s="2"/>
      <c r="B445" s="2"/>
      <c r="C445" s="2"/>
      <c r="D445" s="3"/>
      <c r="E445" s="3"/>
      <c r="F445" s="3"/>
      <c r="G445" s="3"/>
      <c r="H445" s="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>
      <c r="A446" s="2"/>
      <c r="B446" s="2"/>
      <c r="C446" s="2"/>
      <c r="D446" s="3"/>
      <c r="E446" s="3"/>
      <c r="F446" s="3"/>
      <c r="G446" s="3"/>
      <c r="H446" s="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>
      <c r="A447" s="2"/>
      <c r="B447" s="2"/>
      <c r="C447" s="2"/>
      <c r="D447" s="3"/>
      <c r="E447" s="3"/>
      <c r="F447" s="3"/>
      <c r="G447" s="3"/>
      <c r="H447" s="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>
      <c r="A448" s="2"/>
      <c r="B448" s="2"/>
      <c r="C448" s="2"/>
      <c r="D448" s="3"/>
      <c r="E448" s="3"/>
      <c r="F448" s="3"/>
      <c r="G448" s="3"/>
      <c r="H448" s="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>
      <c r="A449" s="2"/>
      <c r="B449" s="2"/>
      <c r="C449" s="2"/>
      <c r="D449" s="3"/>
      <c r="E449" s="3"/>
      <c r="F449" s="3"/>
      <c r="G449" s="3"/>
      <c r="H449" s="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>
      <c r="A450" s="2"/>
      <c r="B450" s="2"/>
      <c r="C450" s="2"/>
      <c r="D450" s="3"/>
      <c r="E450" s="3"/>
      <c r="F450" s="3"/>
      <c r="G450" s="3"/>
      <c r="H450" s="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>
      <c r="A451" s="2"/>
      <c r="B451" s="2"/>
      <c r="C451" s="2"/>
      <c r="D451" s="3"/>
      <c r="E451" s="3"/>
      <c r="F451" s="3"/>
      <c r="G451" s="3"/>
      <c r="H451" s="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>
      <c r="A452" s="2"/>
      <c r="B452" s="2"/>
      <c r="C452" s="2"/>
      <c r="D452" s="3"/>
      <c r="E452" s="3"/>
      <c r="F452" s="3"/>
      <c r="G452" s="3"/>
      <c r="H452" s="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>
      <c r="A453" s="2"/>
      <c r="B453" s="2"/>
      <c r="C453" s="2"/>
      <c r="D453" s="3"/>
      <c r="E453" s="3"/>
      <c r="F453" s="3"/>
      <c r="G453" s="3"/>
      <c r="H453" s="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>
      <c r="A454" s="2"/>
      <c r="B454" s="2"/>
      <c r="C454" s="2"/>
      <c r="D454" s="3"/>
      <c r="E454" s="3"/>
      <c r="F454" s="3"/>
      <c r="G454" s="3"/>
      <c r="H454" s="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>
      <c r="A455" s="2"/>
      <c r="B455" s="2"/>
      <c r="C455" s="2"/>
      <c r="D455" s="3"/>
      <c r="E455" s="3"/>
      <c r="F455" s="3"/>
      <c r="G455" s="3"/>
      <c r="H455" s="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>
      <c r="A456" s="2"/>
      <c r="B456" s="2"/>
      <c r="C456" s="2"/>
      <c r="D456" s="3"/>
      <c r="E456" s="3"/>
      <c r="F456" s="3"/>
      <c r="G456" s="3"/>
      <c r="H456" s="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>
      <c r="A457" s="2"/>
      <c r="B457" s="2"/>
      <c r="C457" s="2"/>
      <c r="D457" s="3"/>
      <c r="E457" s="3"/>
      <c r="F457" s="3"/>
      <c r="G457" s="3"/>
      <c r="H457" s="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>
      <c r="A458" s="2"/>
      <c r="B458" s="2"/>
      <c r="C458" s="2"/>
      <c r="D458" s="3"/>
      <c r="E458" s="3"/>
      <c r="F458" s="3"/>
      <c r="G458" s="3"/>
      <c r="H458" s="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>
      <c r="A459" s="2"/>
      <c r="B459" s="2"/>
      <c r="C459" s="2"/>
      <c r="D459" s="3"/>
      <c r="E459" s="3"/>
      <c r="F459" s="3"/>
      <c r="G459" s="3"/>
      <c r="H459" s="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>
      <c r="A460" s="2"/>
      <c r="B460" s="2"/>
      <c r="C460" s="2"/>
      <c r="D460" s="3"/>
      <c r="E460" s="3"/>
      <c r="F460" s="3"/>
      <c r="G460" s="3"/>
      <c r="H460" s="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>
      <c r="A461" s="2"/>
      <c r="B461" s="2"/>
      <c r="C461" s="2"/>
      <c r="D461" s="3"/>
      <c r="E461" s="3"/>
      <c r="F461" s="3"/>
      <c r="G461" s="3"/>
      <c r="H461" s="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>
      <c r="A462" s="2"/>
      <c r="B462" s="2"/>
      <c r="C462" s="2"/>
      <c r="D462" s="3"/>
      <c r="E462" s="3"/>
      <c r="F462" s="3"/>
      <c r="G462" s="3"/>
      <c r="H462" s="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>
      <c r="A463" s="2"/>
      <c r="B463" s="2"/>
      <c r="C463" s="2"/>
      <c r="D463" s="3"/>
      <c r="E463" s="3"/>
      <c r="F463" s="3"/>
      <c r="G463" s="3"/>
      <c r="H463" s="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>
      <c r="A464" s="2"/>
      <c r="B464" s="2"/>
      <c r="C464" s="2"/>
      <c r="D464" s="3"/>
      <c r="E464" s="3"/>
      <c r="F464" s="3"/>
      <c r="G464" s="3"/>
      <c r="H464" s="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>
      <c r="A465" s="2"/>
      <c r="B465" s="2"/>
      <c r="C465" s="2"/>
      <c r="D465" s="3"/>
      <c r="E465" s="3"/>
      <c r="F465" s="3"/>
      <c r="G465" s="3"/>
      <c r="H465" s="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>
      <c r="A466" s="2"/>
      <c r="B466" s="2"/>
      <c r="C466" s="2"/>
      <c r="D466" s="3"/>
      <c r="E466" s="3"/>
      <c r="F466" s="3"/>
      <c r="G466" s="3"/>
      <c r="H466" s="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>
      <c r="A467" s="2"/>
      <c r="B467" s="2"/>
      <c r="C467" s="2"/>
      <c r="D467" s="3"/>
      <c r="E467" s="3"/>
      <c r="F467" s="3"/>
      <c r="G467" s="3"/>
      <c r="H467" s="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>
      <c r="A468" s="2"/>
      <c r="B468" s="2"/>
      <c r="C468" s="2"/>
      <c r="D468" s="3"/>
      <c r="E468" s="3"/>
      <c r="F468" s="3"/>
      <c r="G468" s="3"/>
      <c r="H468" s="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>
      <c r="A469" s="2"/>
      <c r="B469" s="2"/>
      <c r="C469" s="2"/>
      <c r="D469" s="3"/>
      <c r="E469" s="3"/>
      <c r="F469" s="3"/>
      <c r="G469" s="3"/>
      <c r="H469" s="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>
      <c r="A470" s="2"/>
      <c r="B470" s="2"/>
      <c r="C470" s="2"/>
      <c r="D470" s="3"/>
      <c r="E470" s="3"/>
      <c r="F470" s="3"/>
      <c r="G470" s="3"/>
      <c r="H470" s="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>
      <c r="A471" s="2"/>
      <c r="B471" s="2"/>
      <c r="C471" s="2"/>
      <c r="D471" s="3"/>
      <c r="E471" s="3"/>
      <c r="F471" s="3"/>
      <c r="G471" s="3"/>
      <c r="H471" s="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>
      <c r="A472" s="2"/>
      <c r="B472" s="2"/>
      <c r="C472" s="2"/>
      <c r="D472" s="3"/>
      <c r="E472" s="3"/>
      <c r="F472" s="3"/>
      <c r="G472" s="3"/>
      <c r="H472" s="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>
      <c r="A473" s="2"/>
      <c r="B473" s="2"/>
      <c r="C473" s="2"/>
      <c r="D473" s="3"/>
      <c r="E473" s="3"/>
      <c r="F473" s="3"/>
      <c r="G473" s="3"/>
      <c r="H473" s="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>
      <c r="A474" s="2"/>
      <c r="B474" s="2"/>
      <c r="C474" s="2"/>
      <c r="D474" s="3"/>
      <c r="E474" s="3"/>
      <c r="F474" s="3"/>
      <c r="G474" s="3"/>
      <c r="H474" s="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>
      <c r="A475" s="2"/>
      <c r="B475" s="2"/>
      <c r="C475" s="2"/>
      <c r="D475" s="3"/>
      <c r="E475" s="3"/>
      <c r="F475" s="3"/>
      <c r="G475" s="3"/>
      <c r="H475" s="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>
      <c r="A476" s="2"/>
      <c r="B476" s="2"/>
      <c r="C476" s="2"/>
      <c r="D476" s="3"/>
      <c r="E476" s="3"/>
      <c r="F476" s="3"/>
      <c r="G476" s="3"/>
      <c r="H476" s="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>
      <c r="A477" s="2"/>
      <c r="B477" s="2"/>
      <c r="C477" s="2"/>
      <c r="D477" s="3"/>
      <c r="E477" s="3"/>
      <c r="F477" s="3"/>
      <c r="G477" s="3"/>
      <c r="H477" s="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>
      <c r="A478" s="2"/>
      <c r="B478" s="2"/>
      <c r="C478" s="2"/>
      <c r="D478" s="3"/>
      <c r="E478" s="3"/>
      <c r="F478" s="3"/>
      <c r="G478" s="3"/>
      <c r="H478" s="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>
      <c r="A479" s="2"/>
      <c r="B479" s="2"/>
      <c r="C479" s="2"/>
      <c r="D479" s="3"/>
      <c r="E479" s="3"/>
      <c r="F479" s="3"/>
      <c r="G479" s="3"/>
      <c r="H479" s="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>
      <c r="A480" s="2"/>
      <c r="B480" s="2"/>
      <c r="C480" s="2"/>
      <c r="D480" s="3"/>
      <c r="E480" s="3"/>
      <c r="F480" s="3"/>
      <c r="G480" s="3"/>
      <c r="H480" s="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>
      <c r="A481" s="2"/>
      <c r="B481" s="2"/>
      <c r="C481" s="2"/>
      <c r="D481" s="3"/>
      <c r="E481" s="3"/>
      <c r="F481" s="3"/>
      <c r="G481" s="3"/>
      <c r="H481" s="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>
      <c r="A482" s="2"/>
      <c r="B482" s="2"/>
      <c r="C482" s="2"/>
      <c r="D482" s="3"/>
      <c r="E482" s="3"/>
      <c r="F482" s="3"/>
      <c r="G482" s="3"/>
      <c r="H482" s="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>
      <c r="A483" s="2"/>
      <c r="B483" s="2"/>
      <c r="C483" s="2"/>
      <c r="D483" s="3"/>
      <c r="E483" s="3"/>
      <c r="F483" s="3"/>
      <c r="G483" s="3"/>
      <c r="H483" s="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>
      <c r="A484" s="2"/>
      <c r="B484" s="2"/>
      <c r="C484" s="2"/>
      <c r="D484" s="3"/>
      <c r="E484" s="3"/>
      <c r="F484" s="3"/>
      <c r="G484" s="3"/>
      <c r="H484" s="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>
      <c r="A485" s="2"/>
      <c r="B485" s="2"/>
      <c r="C485" s="2"/>
      <c r="D485" s="3"/>
      <c r="E485" s="3"/>
      <c r="F485" s="3"/>
      <c r="G485" s="3"/>
      <c r="H485" s="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>
      <c r="A486" s="2"/>
      <c r="B486" s="2"/>
      <c r="C486" s="2"/>
      <c r="D486" s="3"/>
      <c r="E486" s="3"/>
      <c r="F486" s="3"/>
      <c r="G486" s="3"/>
      <c r="H486" s="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>
      <c r="A487" s="2"/>
      <c r="B487" s="2"/>
      <c r="C487" s="2"/>
      <c r="D487" s="3"/>
      <c r="E487" s="3"/>
      <c r="F487" s="3"/>
      <c r="G487" s="3"/>
      <c r="H487" s="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>
      <c r="A488" s="2"/>
      <c r="B488" s="2"/>
      <c r="C488" s="2"/>
      <c r="D488" s="3"/>
      <c r="E488" s="3"/>
      <c r="F488" s="3"/>
      <c r="G488" s="3"/>
      <c r="H488" s="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>
      <c r="A489" s="2"/>
      <c r="B489" s="2"/>
      <c r="C489" s="2"/>
      <c r="D489" s="3"/>
      <c r="E489" s="3"/>
      <c r="F489" s="3"/>
      <c r="G489" s="3"/>
      <c r="H489" s="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>
      <c r="A490" s="2"/>
      <c r="B490" s="2"/>
      <c r="C490" s="2"/>
      <c r="D490" s="3"/>
      <c r="E490" s="3"/>
      <c r="F490" s="3"/>
      <c r="G490" s="3"/>
      <c r="H490" s="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>
      <c r="A491" s="2"/>
      <c r="B491" s="2"/>
      <c r="C491" s="2"/>
      <c r="D491" s="3"/>
      <c r="E491" s="3"/>
      <c r="F491" s="3"/>
      <c r="G491" s="3"/>
      <c r="H491" s="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>
      <c r="A492" s="2"/>
      <c r="B492" s="2"/>
      <c r="C492" s="2"/>
      <c r="D492" s="3"/>
      <c r="E492" s="3"/>
      <c r="F492" s="3"/>
      <c r="G492" s="3"/>
      <c r="H492" s="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>
      <c r="A493" s="2"/>
      <c r="B493" s="2"/>
      <c r="C493" s="2"/>
      <c r="D493" s="3"/>
      <c r="E493" s="3"/>
      <c r="F493" s="3"/>
      <c r="G493" s="3"/>
      <c r="H493" s="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>
      <c r="A494" s="2"/>
      <c r="B494" s="2"/>
      <c r="C494" s="2"/>
      <c r="D494" s="3"/>
      <c r="E494" s="3"/>
      <c r="F494" s="3"/>
      <c r="G494" s="3"/>
      <c r="H494" s="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>
      <c r="A495" s="2"/>
      <c r="B495" s="2"/>
      <c r="C495" s="2"/>
      <c r="D495" s="3"/>
      <c r="E495" s="3"/>
      <c r="F495" s="3"/>
      <c r="G495" s="3"/>
      <c r="H495" s="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>
      <c r="A496" s="2"/>
      <c r="B496" s="2"/>
      <c r="C496" s="2"/>
      <c r="D496" s="3"/>
      <c r="E496" s="3"/>
      <c r="F496" s="3"/>
      <c r="G496" s="3"/>
      <c r="H496" s="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>
      <c r="A497" s="2"/>
      <c r="B497" s="2"/>
      <c r="C497" s="2"/>
      <c r="D497" s="3"/>
      <c r="E497" s="3"/>
      <c r="F497" s="3"/>
      <c r="G497" s="3"/>
      <c r="H497" s="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>
      <c r="A498" s="2"/>
      <c r="B498" s="2"/>
      <c r="C498" s="2"/>
      <c r="D498" s="3"/>
      <c r="E498" s="3"/>
      <c r="F498" s="3"/>
      <c r="G498" s="3"/>
      <c r="H498" s="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>
      <c r="A499" s="2"/>
      <c r="B499" s="2"/>
      <c r="C499" s="2"/>
      <c r="D499" s="3"/>
      <c r="E499" s="3"/>
      <c r="F499" s="3"/>
      <c r="G499" s="3"/>
      <c r="H499" s="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>
      <c r="A500" s="2"/>
      <c r="B500" s="2"/>
      <c r="C500" s="2"/>
      <c r="D500" s="3"/>
      <c r="E500" s="3"/>
      <c r="F500" s="3"/>
      <c r="G500" s="3"/>
      <c r="H500" s="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>
      <c r="A501" s="2"/>
      <c r="B501" s="2"/>
      <c r="C501" s="2"/>
      <c r="D501" s="3"/>
      <c r="E501" s="3"/>
      <c r="F501" s="3"/>
      <c r="G501" s="3"/>
      <c r="H501" s="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>
      <c r="A502" s="2"/>
      <c r="B502" s="2"/>
      <c r="C502" s="2"/>
      <c r="D502" s="3"/>
      <c r="E502" s="3"/>
      <c r="F502" s="3"/>
      <c r="G502" s="3"/>
      <c r="H502" s="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>
      <c r="A503" s="2"/>
      <c r="B503" s="2"/>
      <c r="C503" s="2"/>
      <c r="D503" s="3"/>
      <c r="E503" s="3"/>
      <c r="F503" s="3"/>
      <c r="G503" s="3"/>
      <c r="H503" s="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>
      <c r="A504" s="2"/>
      <c r="B504" s="2"/>
      <c r="C504" s="2"/>
      <c r="D504" s="3"/>
      <c r="E504" s="3"/>
      <c r="F504" s="3"/>
      <c r="G504" s="3"/>
      <c r="H504" s="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>
      <c r="A505" s="2"/>
      <c r="B505" s="2"/>
      <c r="C505" s="2"/>
      <c r="D505" s="3"/>
      <c r="E505" s="3"/>
      <c r="F505" s="3"/>
      <c r="G505" s="3"/>
      <c r="H505" s="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>
      <c r="A506" s="2"/>
      <c r="B506" s="2"/>
      <c r="C506" s="2"/>
      <c r="D506" s="3"/>
      <c r="E506" s="3"/>
      <c r="F506" s="3"/>
      <c r="G506" s="3"/>
      <c r="H506" s="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>
      <c r="A507" s="2"/>
      <c r="B507" s="2"/>
      <c r="C507" s="2"/>
      <c r="D507" s="3"/>
      <c r="E507" s="3"/>
      <c r="F507" s="3"/>
      <c r="G507" s="3"/>
      <c r="H507" s="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>
      <c r="A508" s="2"/>
      <c r="B508" s="2"/>
      <c r="C508" s="2"/>
      <c r="D508" s="3"/>
      <c r="E508" s="3"/>
      <c r="F508" s="3"/>
      <c r="G508" s="3"/>
      <c r="H508" s="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>
      <c r="A509" s="2"/>
      <c r="B509" s="2"/>
      <c r="C509" s="2"/>
      <c r="D509" s="3"/>
      <c r="E509" s="3"/>
      <c r="F509" s="3"/>
      <c r="G509" s="3"/>
      <c r="H509" s="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>
      <c r="A510" s="2"/>
      <c r="B510" s="2"/>
      <c r="C510" s="2"/>
      <c r="D510" s="3"/>
      <c r="E510" s="3"/>
      <c r="F510" s="3"/>
      <c r="G510" s="3"/>
      <c r="H510" s="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>
      <c r="A511" s="2"/>
      <c r="B511" s="2"/>
      <c r="C511" s="2"/>
      <c r="D511" s="3"/>
      <c r="E511" s="3"/>
      <c r="F511" s="3"/>
      <c r="G511" s="3"/>
      <c r="H511" s="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>
      <c r="A512" s="2"/>
      <c r="B512" s="2"/>
      <c r="C512" s="2"/>
      <c r="D512" s="3"/>
      <c r="E512" s="3"/>
      <c r="F512" s="3"/>
      <c r="G512" s="3"/>
      <c r="H512" s="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>
      <c r="A513" s="2"/>
      <c r="B513" s="2"/>
      <c r="C513" s="2"/>
      <c r="D513" s="3"/>
      <c r="E513" s="3"/>
      <c r="F513" s="3"/>
      <c r="G513" s="3"/>
      <c r="H513" s="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>
      <c r="A514" s="2"/>
      <c r="B514" s="2"/>
      <c r="C514" s="2"/>
      <c r="D514" s="3"/>
      <c r="E514" s="3"/>
      <c r="F514" s="3"/>
      <c r="G514" s="3"/>
      <c r="H514" s="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>
      <c r="A515" s="2"/>
      <c r="B515" s="2"/>
      <c r="C515" s="2"/>
      <c r="D515" s="3"/>
      <c r="E515" s="3"/>
      <c r="F515" s="3"/>
      <c r="G515" s="3"/>
      <c r="H515" s="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>
      <c r="A516" s="2"/>
      <c r="B516" s="2"/>
      <c r="C516" s="2"/>
      <c r="D516" s="3"/>
      <c r="E516" s="3"/>
      <c r="F516" s="3"/>
      <c r="G516" s="3"/>
      <c r="H516" s="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>
      <c r="A517" s="2"/>
      <c r="B517" s="2"/>
      <c r="C517" s="2"/>
      <c r="D517" s="3"/>
      <c r="E517" s="3"/>
      <c r="F517" s="3"/>
      <c r="G517" s="3"/>
      <c r="H517" s="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>
      <c r="A518" s="2"/>
      <c r="B518" s="2"/>
      <c r="C518" s="2"/>
      <c r="D518" s="3"/>
      <c r="E518" s="3"/>
      <c r="F518" s="3"/>
      <c r="G518" s="3"/>
      <c r="H518" s="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>
      <c r="A519" s="2"/>
      <c r="B519" s="2"/>
      <c r="C519" s="2"/>
      <c r="D519" s="3"/>
      <c r="E519" s="3"/>
      <c r="F519" s="3"/>
      <c r="G519" s="3"/>
      <c r="H519" s="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>
      <c r="A520" s="2"/>
      <c r="B520" s="2"/>
      <c r="C520" s="2"/>
      <c r="D520" s="3"/>
      <c r="E520" s="3"/>
      <c r="F520" s="3"/>
      <c r="G520" s="3"/>
      <c r="H520" s="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2"/>
      <c r="B521" s="2"/>
      <c r="C521" s="2"/>
      <c r="D521" s="3"/>
      <c r="E521" s="3"/>
      <c r="F521" s="3"/>
      <c r="G521" s="3"/>
      <c r="H521" s="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2"/>
      <c r="B522" s="2"/>
      <c r="C522" s="2"/>
      <c r="D522" s="3"/>
      <c r="E522" s="3"/>
      <c r="F522" s="3"/>
      <c r="G522" s="3"/>
      <c r="H522" s="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>
      <c r="A523" s="2"/>
      <c r="B523" s="2"/>
      <c r="C523" s="2"/>
      <c r="D523" s="3"/>
      <c r="E523" s="3"/>
      <c r="F523" s="3"/>
      <c r="G523" s="3"/>
      <c r="H523" s="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>
      <c r="A524" s="2"/>
      <c r="B524" s="2"/>
      <c r="C524" s="2"/>
      <c r="D524" s="3"/>
      <c r="E524" s="3"/>
      <c r="F524" s="3"/>
      <c r="G524" s="3"/>
      <c r="H524" s="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>
      <c r="A525" s="2"/>
      <c r="B525" s="2"/>
      <c r="C525" s="2"/>
      <c r="D525" s="3"/>
      <c r="E525" s="3"/>
      <c r="F525" s="3"/>
      <c r="G525" s="3"/>
      <c r="H525" s="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>
      <c r="A526" s="2"/>
      <c r="B526" s="2"/>
      <c r="C526" s="2"/>
      <c r="D526" s="3"/>
      <c r="E526" s="3"/>
      <c r="F526" s="3"/>
      <c r="G526" s="3"/>
      <c r="H526" s="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>
      <c r="A527" s="2"/>
      <c r="B527" s="2"/>
      <c r="C527" s="2"/>
      <c r="D527" s="3"/>
      <c r="E527" s="3"/>
      <c r="F527" s="3"/>
      <c r="G527" s="3"/>
      <c r="H527" s="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>
      <c r="A528" s="2"/>
      <c r="B528" s="2"/>
      <c r="C528" s="2"/>
      <c r="D528" s="3"/>
      <c r="E528" s="3"/>
      <c r="F528" s="3"/>
      <c r="G528" s="3"/>
      <c r="H528" s="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>
      <c r="A529" s="2"/>
      <c r="B529" s="2"/>
      <c r="C529" s="2"/>
      <c r="D529" s="3"/>
      <c r="E529" s="3"/>
      <c r="F529" s="3"/>
      <c r="G529" s="3"/>
      <c r="H529" s="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>
      <c r="A530" s="2"/>
      <c r="B530" s="2"/>
      <c r="C530" s="2"/>
      <c r="D530" s="3"/>
      <c r="E530" s="3"/>
      <c r="F530" s="3"/>
      <c r="G530" s="3"/>
      <c r="H530" s="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>
      <c r="A531" s="2"/>
      <c r="B531" s="2"/>
      <c r="C531" s="2"/>
      <c r="D531" s="3"/>
      <c r="E531" s="3"/>
      <c r="F531" s="3"/>
      <c r="G531" s="3"/>
      <c r="H531" s="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>
      <c r="A532" s="2"/>
      <c r="B532" s="2"/>
      <c r="C532" s="2"/>
      <c r="D532" s="3"/>
      <c r="E532" s="3"/>
      <c r="F532" s="3"/>
      <c r="G532" s="3"/>
      <c r="H532" s="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>
      <c r="A533" s="2"/>
      <c r="B533" s="2"/>
      <c r="C533" s="2"/>
      <c r="D533" s="3"/>
      <c r="E533" s="3"/>
      <c r="F533" s="3"/>
      <c r="G533" s="3"/>
      <c r="H533" s="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>
      <c r="A534" s="2"/>
      <c r="B534" s="2"/>
      <c r="C534" s="2"/>
      <c r="D534" s="3"/>
      <c r="E534" s="3"/>
      <c r="F534" s="3"/>
      <c r="G534" s="3"/>
      <c r="H534" s="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>
      <c r="A535" s="2"/>
      <c r="B535" s="2"/>
      <c r="C535" s="2"/>
      <c r="D535" s="3"/>
      <c r="E535" s="3"/>
      <c r="F535" s="3"/>
      <c r="G535" s="3"/>
      <c r="H535" s="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>
      <c r="A536" s="2"/>
      <c r="B536" s="2"/>
      <c r="C536" s="2"/>
      <c r="D536" s="3"/>
      <c r="E536" s="3"/>
      <c r="F536" s="3"/>
      <c r="G536" s="3"/>
      <c r="H536" s="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>
      <c r="A537" s="2"/>
      <c r="B537" s="2"/>
      <c r="C537" s="2"/>
      <c r="D537" s="3"/>
      <c r="E537" s="3"/>
      <c r="F537" s="3"/>
      <c r="G537" s="3"/>
      <c r="H537" s="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>
      <c r="A538" s="2"/>
      <c r="B538" s="2"/>
      <c r="C538" s="2"/>
      <c r="D538" s="3"/>
      <c r="E538" s="3"/>
      <c r="F538" s="3"/>
      <c r="G538" s="3"/>
      <c r="H538" s="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>
      <c r="A539" s="2"/>
      <c r="B539" s="2"/>
      <c r="C539" s="2"/>
      <c r="D539" s="3"/>
      <c r="E539" s="3"/>
      <c r="F539" s="3"/>
      <c r="G539" s="3"/>
      <c r="H539" s="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>
      <c r="A540" s="2"/>
      <c r="B540" s="2"/>
      <c r="C540" s="2"/>
      <c r="D540" s="3"/>
      <c r="E540" s="3"/>
      <c r="F540" s="3"/>
      <c r="G540" s="3"/>
      <c r="H540" s="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>
      <c r="A541" s="2"/>
      <c r="B541" s="2"/>
      <c r="C541" s="2"/>
      <c r="D541" s="3"/>
      <c r="E541" s="3"/>
      <c r="F541" s="3"/>
      <c r="G541" s="3"/>
      <c r="H541" s="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>
      <c r="A542" s="2"/>
      <c r="B542" s="2"/>
      <c r="C542" s="2"/>
      <c r="D542" s="3"/>
      <c r="E542" s="3"/>
      <c r="F542" s="3"/>
      <c r="G542" s="3"/>
      <c r="H542" s="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>
      <c r="A543" s="2"/>
      <c r="B543" s="2"/>
      <c r="C543" s="2"/>
      <c r="D543" s="3"/>
      <c r="E543" s="3"/>
      <c r="F543" s="3"/>
      <c r="G543" s="3"/>
      <c r="H543" s="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>
      <c r="A544" s="2"/>
      <c r="B544" s="2"/>
      <c r="C544" s="2"/>
      <c r="D544" s="3"/>
      <c r="E544" s="3"/>
      <c r="F544" s="3"/>
      <c r="G544" s="3"/>
      <c r="H544" s="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>
      <c r="A545" s="2"/>
      <c r="B545" s="2"/>
      <c r="C545" s="2"/>
      <c r="D545" s="3"/>
      <c r="E545" s="3"/>
      <c r="F545" s="3"/>
      <c r="G545" s="3"/>
      <c r="H545" s="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>
      <c r="A546" s="2"/>
      <c r="B546" s="2"/>
      <c r="C546" s="2"/>
      <c r="D546" s="3"/>
      <c r="E546" s="3"/>
      <c r="F546" s="3"/>
      <c r="G546" s="3"/>
      <c r="H546" s="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>
      <c r="A547" s="2"/>
      <c r="B547" s="2"/>
      <c r="C547" s="2"/>
      <c r="D547" s="3"/>
      <c r="E547" s="3"/>
      <c r="F547" s="3"/>
      <c r="G547" s="3"/>
      <c r="H547" s="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>
      <c r="A548" s="2"/>
      <c r="B548" s="2"/>
      <c r="C548" s="2"/>
      <c r="D548" s="3"/>
      <c r="E548" s="3"/>
      <c r="F548" s="3"/>
      <c r="G548" s="3"/>
      <c r="H548" s="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>
      <c r="A549" s="2"/>
      <c r="B549" s="2"/>
      <c r="C549" s="2"/>
      <c r="D549" s="3"/>
      <c r="E549" s="3"/>
      <c r="F549" s="3"/>
      <c r="G549" s="3"/>
      <c r="H549" s="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>
      <c r="A550" s="2"/>
      <c r="B550" s="2"/>
      <c r="C550" s="2"/>
      <c r="D550" s="3"/>
      <c r="E550" s="3"/>
      <c r="F550" s="3"/>
      <c r="G550" s="3"/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>
      <c r="A551" s="2"/>
      <c r="B551" s="2"/>
      <c r="C551" s="2"/>
      <c r="D551" s="3"/>
      <c r="E551" s="3"/>
      <c r="F551" s="3"/>
      <c r="G551" s="3"/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>
      <c r="A552" s="2"/>
      <c r="B552" s="2"/>
      <c r="C552" s="2"/>
      <c r="D552" s="3"/>
      <c r="E552" s="3"/>
      <c r="F552" s="3"/>
      <c r="G552" s="3"/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>
      <c r="A553" s="2"/>
      <c r="B553" s="2"/>
      <c r="C553" s="2"/>
      <c r="D553" s="3"/>
      <c r="E553" s="3"/>
      <c r="F553" s="3"/>
      <c r="G553" s="3"/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>
      <c r="A554" s="2"/>
      <c r="B554" s="2"/>
      <c r="C554" s="2"/>
      <c r="D554" s="3"/>
      <c r="E554" s="3"/>
      <c r="F554" s="3"/>
      <c r="G554" s="3"/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>
      <c r="A555" s="2"/>
      <c r="B555" s="2"/>
      <c r="C555" s="2"/>
      <c r="D555" s="3"/>
      <c r="E555" s="3"/>
      <c r="F555" s="3"/>
      <c r="G555" s="3"/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>
      <c r="A556" s="2"/>
      <c r="B556" s="2"/>
      <c r="C556" s="2"/>
      <c r="D556" s="3"/>
      <c r="E556" s="3"/>
      <c r="F556" s="3"/>
      <c r="G556" s="3"/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>
      <c r="A557" s="2"/>
      <c r="B557" s="2"/>
      <c r="C557" s="2"/>
      <c r="D557" s="3"/>
      <c r="E557" s="3"/>
      <c r="F557" s="3"/>
      <c r="G557" s="3"/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>
      <c r="A558" s="2"/>
      <c r="B558" s="2"/>
      <c r="C558" s="2"/>
      <c r="D558" s="3"/>
      <c r="E558" s="3"/>
      <c r="F558" s="3"/>
      <c r="G558" s="3"/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>
      <c r="A559" s="2"/>
      <c r="B559" s="2"/>
      <c r="C559" s="2"/>
      <c r="D559" s="3"/>
      <c r="E559" s="3"/>
      <c r="F559" s="3"/>
      <c r="G559" s="3"/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>
      <c r="A560" s="2"/>
      <c r="B560" s="2"/>
      <c r="C560" s="2"/>
      <c r="D560" s="3"/>
      <c r="E560" s="3"/>
      <c r="F560" s="3"/>
      <c r="G560" s="3"/>
      <c r="H560" s="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>
      <c r="A561" s="2"/>
      <c r="B561" s="2"/>
      <c r="C561" s="2"/>
      <c r="D561" s="3"/>
      <c r="E561" s="3"/>
      <c r="F561" s="3"/>
      <c r="G561" s="3"/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>
      <c r="A562" s="2"/>
      <c r="B562" s="2"/>
      <c r="C562" s="2"/>
      <c r="D562" s="3"/>
      <c r="E562" s="3"/>
      <c r="F562" s="3"/>
      <c r="G562" s="3"/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>
      <c r="A563" s="2"/>
      <c r="B563" s="2"/>
      <c r="C563" s="2"/>
      <c r="D563" s="3"/>
      <c r="E563" s="3"/>
      <c r="F563" s="3"/>
      <c r="G563" s="3"/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>
      <c r="A564" s="2"/>
      <c r="B564" s="2"/>
      <c r="C564" s="2"/>
      <c r="D564" s="3"/>
      <c r="E564" s="3"/>
      <c r="F564" s="3"/>
      <c r="G564" s="3"/>
      <c r="H564" s="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>
      <c r="A565" s="2"/>
      <c r="B565" s="2"/>
      <c r="C565" s="2"/>
      <c r="D565" s="3"/>
      <c r="E565" s="3"/>
      <c r="F565" s="3"/>
      <c r="G565" s="3"/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>
      <c r="A566" s="2"/>
      <c r="B566" s="2"/>
      <c r="C566" s="2"/>
      <c r="D566" s="3"/>
      <c r="E566" s="3"/>
      <c r="F566" s="3"/>
      <c r="G566" s="3"/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>
      <c r="A567" s="2"/>
      <c r="B567" s="2"/>
      <c r="C567" s="2"/>
      <c r="D567" s="3"/>
      <c r="E567" s="3"/>
      <c r="F567" s="3"/>
      <c r="G567" s="3"/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>
      <c r="A568" s="2"/>
      <c r="B568" s="2"/>
      <c r="C568" s="2"/>
      <c r="D568" s="3"/>
      <c r="E568" s="3"/>
      <c r="F568" s="3"/>
      <c r="G568" s="3"/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>
      <c r="A569" s="2"/>
      <c r="B569" s="2"/>
      <c r="C569" s="2"/>
      <c r="D569" s="3"/>
      <c r="E569" s="3"/>
      <c r="F569" s="3"/>
      <c r="G569" s="3"/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>
      <c r="A570" s="2"/>
      <c r="B570" s="2"/>
      <c r="C570" s="2"/>
      <c r="D570" s="3"/>
      <c r="E570" s="3"/>
      <c r="F570" s="3"/>
      <c r="G570" s="3"/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>
      <c r="A571" s="2"/>
      <c r="B571" s="2"/>
      <c r="C571" s="2"/>
      <c r="D571" s="3"/>
      <c r="E571" s="3"/>
      <c r="F571" s="3"/>
      <c r="G571" s="3"/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>
      <c r="A572" s="2"/>
      <c r="B572" s="2"/>
      <c r="C572" s="2"/>
      <c r="D572" s="3"/>
      <c r="E572" s="3"/>
      <c r="F572" s="3"/>
      <c r="G572" s="3"/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>
      <c r="A573" s="2"/>
      <c r="B573" s="2"/>
      <c r="C573" s="2"/>
      <c r="D573" s="3"/>
      <c r="E573" s="3"/>
      <c r="F573" s="3"/>
      <c r="G573" s="3"/>
      <c r="H573" s="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>
      <c r="A574" s="2"/>
      <c r="B574" s="2"/>
      <c r="C574" s="2"/>
      <c r="D574" s="3"/>
      <c r="E574" s="3"/>
      <c r="F574" s="3"/>
      <c r="G574" s="3"/>
      <c r="H574" s="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>
      <c r="A575" s="2"/>
      <c r="B575" s="2"/>
      <c r="C575" s="2"/>
      <c r="D575" s="3"/>
      <c r="E575" s="3"/>
      <c r="F575" s="3"/>
      <c r="G575" s="3"/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>
      <c r="A576" s="2"/>
      <c r="B576" s="2"/>
      <c r="C576" s="2"/>
      <c r="D576" s="3"/>
      <c r="E576" s="3"/>
      <c r="F576" s="3"/>
      <c r="G576" s="3"/>
      <c r="H576" s="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>
      <c r="A577" s="2"/>
      <c r="B577" s="2"/>
      <c r="C577" s="2"/>
      <c r="D577" s="3"/>
      <c r="E577" s="3"/>
      <c r="F577" s="3"/>
      <c r="G577" s="3"/>
      <c r="H577" s="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>
      <c r="A578" s="2"/>
      <c r="B578" s="2"/>
      <c r="C578" s="2"/>
      <c r="D578" s="3"/>
      <c r="E578" s="3"/>
      <c r="F578" s="3"/>
      <c r="G578" s="3"/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>
      <c r="A579" s="2"/>
      <c r="B579" s="2"/>
      <c r="C579" s="2"/>
      <c r="D579" s="3"/>
      <c r="E579" s="3"/>
      <c r="F579" s="3"/>
      <c r="G579" s="3"/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>
      <c r="A580" s="2"/>
      <c r="B580" s="2"/>
      <c r="C580" s="2"/>
      <c r="D580" s="3"/>
      <c r="E580" s="3"/>
      <c r="F580" s="3"/>
      <c r="G580" s="3"/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>
      <c r="A581" s="2"/>
      <c r="B581" s="2"/>
      <c r="C581" s="2"/>
      <c r="D581" s="3"/>
      <c r="E581" s="3"/>
      <c r="F581" s="3"/>
      <c r="G581" s="3"/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>
      <c r="A582" s="2"/>
      <c r="B582" s="2"/>
      <c r="C582" s="2"/>
      <c r="D582" s="3"/>
      <c r="E582" s="3"/>
      <c r="F582" s="3"/>
      <c r="G582" s="3"/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>
      <c r="A583" s="2"/>
      <c r="B583" s="2"/>
      <c r="C583" s="2"/>
      <c r="D583" s="3"/>
      <c r="E583" s="3"/>
      <c r="F583" s="3"/>
      <c r="G583" s="3"/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>
      <c r="A584" s="2"/>
      <c r="B584" s="2"/>
      <c r="C584" s="2"/>
      <c r="D584" s="3"/>
      <c r="E584" s="3"/>
      <c r="F584" s="3"/>
      <c r="G584" s="3"/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>
      <c r="A585" s="2"/>
      <c r="B585" s="2"/>
      <c r="C585" s="2"/>
      <c r="D585" s="3"/>
      <c r="E585" s="3"/>
      <c r="F585" s="3"/>
      <c r="G585" s="3"/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>
      <c r="A586" s="2"/>
      <c r="B586" s="2"/>
      <c r="C586" s="2"/>
      <c r="D586" s="3"/>
      <c r="E586" s="3"/>
      <c r="F586" s="3"/>
      <c r="G586" s="3"/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>
      <c r="A587" s="2"/>
      <c r="B587" s="2"/>
      <c r="C587" s="2"/>
      <c r="D587" s="3"/>
      <c r="E587" s="3"/>
      <c r="F587" s="3"/>
      <c r="G587" s="3"/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>
      <c r="A588" s="2"/>
      <c r="B588" s="2"/>
      <c r="C588" s="2"/>
      <c r="D588" s="3"/>
      <c r="E588" s="3"/>
      <c r="F588" s="3"/>
      <c r="G588" s="3"/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>
      <c r="A589" s="2"/>
      <c r="B589" s="2"/>
      <c r="C589" s="2"/>
      <c r="D589" s="3"/>
      <c r="E589" s="3"/>
      <c r="F589" s="3"/>
      <c r="G589" s="3"/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>
      <c r="A590" s="2"/>
      <c r="B590" s="2"/>
      <c r="C590" s="2"/>
      <c r="D590" s="3"/>
      <c r="E590" s="3"/>
      <c r="F590" s="3"/>
      <c r="G590" s="3"/>
      <c r="H590" s="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>
      <c r="A591" s="2"/>
      <c r="B591" s="2"/>
      <c r="C591" s="2"/>
      <c r="D591" s="3"/>
      <c r="E591" s="3"/>
      <c r="F591" s="3"/>
      <c r="G591" s="3"/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>
      <c r="A592" s="2"/>
      <c r="B592" s="2"/>
      <c r="C592" s="2"/>
      <c r="D592" s="3"/>
      <c r="E592" s="3"/>
      <c r="F592" s="3"/>
      <c r="G592" s="3"/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>
      <c r="A593" s="2"/>
      <c r="B593" s="2"/>
      <c r="C593" s="2"/>
      <c r="D593" s="3"/>
      <c r="E593" s="3"/>
      <c r="F593" s="3"/>
      <c r="G593" s="3"/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>
      <c r="A594" s="2"/>
      <c r="B594" s="2"/>
      <c r="C594" s="2"/>
      <c r="D594" s="3"/>
      <c r="E594" s="3"/>
      <c r="F594" s="3"/>
      <c r="G594" s="3"/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>
      <c r="A595" s="2"/>
      <c r="B595" s="2"/>
      <c r="C595" s="2"/>
      <c r="D595" s="3"/>
      <c r="E595" s="3"/>
      <c r="F595" s="3"/>
      <c r="G595" s="3"/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>
      <c r="A596" s="2"/>
      <c r="B596" s="2"/>
      <c r="C596" s="2"/>
      <c r="D596" s="3"/>
      <c r="E596" s="3"/>
      <c r="F596" s="3"/>
      <c r="G596" s="3"/>
      <c r="H596" s="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>
      <c r="A597" s="2"/>
      <c r="B597" s="2"/>
      <c r="C597" s="2"/>
      <c r="D597" s="3"/>
      <c r="E597" s="3"/>
      <c r="F597" s="3"/>
      <c r="G597" s="3"/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>
      <c r="A598" s="2"/>
      <c r="B598" s="2"/>
      <c r="C598" s="2"/>
      <c r="D598" s="3"/>
      <c r="E598" s="3"/>
      <c r="F598" s="3"/>
      <c r="G598" s="3"/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>
      <c r="A599" s="2"/>
      <c r="B599" s="2"/>
      <c r="C599" s="2"/>
      <c r="D599" s="3"/>
      <c r="E599" s="3"/>
      <c r="F599" s="3"/>
      <c r="G599" s="3"/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>
      <c r="A600" s="2"/>
      <c r="B600" s="2"/>
      <c r="C600" s="2"/>
      <c r="D600" s="3"/>
      <c r="E600" s="3"/>
      <c r="F600" s="3"/>
      <c r="G600" s="3"/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>
      <c r="A601" s="2"/>
      <c r="B601" s="2"/>
      <c r="C601" s="2"/>
      <c r="D601" s="3"/>
      <c r="E601" s="3"/>
      <c r="F601" s="3"/>
      <c r="G601" s="3"/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>
      <c r="A602" s="2"/>
      <c r="B602" s="2"/>
      <c r="C602" s="2"/>
      <c r="D602" s="3"/>
      <c r="E602" s="3"/>
      <c r="F602" s="3"/>
      <c r="G602" s="3"/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>
      <c r="A603" s="2"/>
      <c r="B603" s="2"/>
      <c r="C603" s="2"/>
      <c r="D603" s="3"/>
      <c r="E603" s="3"/>
      <c r="F603" s="3"/>
      <c r="G603" s="3"/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>
      <c r="A604" s="2"/>
      <c r="B604" s="2"/>
      <c r="C604" s="2"/>
      <c r="D604" s="3"/>
      <c r="E604" s="3"/>
      <c r="F604" s="3"/>
      <c r="G604" s="3"/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>
      <c r="A605" s="2"/>
      <c r="B605" s="2"/>
      <c r="C605" s="2"/>
      <c r="D605" s="3"/>
      <c r="E605" s="3"/>
      <c r="F605" s="3"/>
      <c r="G605" s="3"/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>
      <c r="A606" s="2"/>
      <c r="B606" s="2"/>
      <c r="C606" s="2"/>
      <c r="D606" s="3"/>
      <c r="E606" s="3"/>
      <c r="F606" s="3"/>
      <c r="G606" s="3"/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>
      <c r="A607" s="2"/>
      <c r="B607" s="2"/>
      <c r="C607" s="2"/>
      <c r="D607" s="3"/>
      <c r="E607" s="3"/>
      <c r="F607" s="3"/>
      <c r="G607" s="3"/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>
      <c r="A608" s="2"/>
      <c r="B608" s="2"/>
      <c r="C608" s="2"/>
      <c r="D608" s="3"/>
      <c r="E608" s="3"/>
      <c r="F608" s="3"/>
      <c r="G608" s="3"/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>
      <c r="A609" s="2"/>
      <c r="B609" s="2"/>
      <c r="C609" s="2"/>
      <c r="D609" s="3"/>
      <c r="E609" s="3"/>
      <c r="F609" s="3"/>
      <c r="G609" s="3"/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>
      <c r="A610" s="2"/>
      <c r="B610" s="2"/>
      <c r="C610" s="2"/>
      <c r="D610" s="3"/>
      <c r="E610" s="3"/>
      <c r="F610" s="3"/>
      <c r="G610" s="3"/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>
      <c r="A611" s="2"/>
      <c r="B611" s="2"/>
      <c r="C611" s="2"/>
      <c r="D611" s="3"/>
      <c r="E611" s="3"/>
      <c r="F611" s="3"/>
      <c r="G611" s="3"/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>
      <c r="A612" s="2"/>
      <c r="B612" s="2"/>
      <c r="C612" s="2"/>
      <c r="D612" s="3"/>
      <c r="E612" s="3"/>
      <c r="F612" s="3"/>
      <c r="G612" s="3"/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>
      <c r="A613" s="2"/>
      <c r="B613" s="2"/>
      <c r="C613" s="2"/>
      <c r="D613" s="3"/>
      <c r="E613" s="3"/>
      <c r="F613" s="3"/>
      <c r="G613" s="3"/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>
      <c r="A614" s="2"/>
      <c r="B614" s="2"/>
      <c r="C614" s="2"/>
      <c r="D614" s="3"/>
      <c r="E614" s="3"/>
      <c r="F614" s="3"/>
      <c r="G614" s="3"/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>
      <c r="A615" s="2"/>
      <c r="B615" s="2"/>
      <c r="C615" s="2"/>
      <c r="D615" s="3"/>
      <c r="E615" s="3"/>
      <c r="F615" s="3"/>
      <c r="G615" s="3"/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>
      <c r="A616" s="2"/>
      <c r="B616" s="2"/>
      <c r="C616" s="2"/>
      <c r="D616" s="3"/>
      <c r="E616" s="3"/>
      <c r="F616" s="3"/>
      <c r="G616" s="3"/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>
      <c r="A617" s="2"/>
      <c r="B617" s="2"/>
      <c r="C617" s="2"/>
      <c r="D617" s="3"/>
      <c r="E617" s="3"/>
      <c r="F617" s="3"/>
      <c r="G617" s="3"/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>
      <c r="A618" s="2"/>
      <c r="B618" s="2"/>
      <c r="C618" s="2"/>
      <c r="D618" s="3"/>
      <c r="E618" s="3"/>
      <c r="F618" s="3"/>
      <c r="G618" s="3"/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>
      <c r="A619" s="2"/>
      <c r="B619" s="2"/>
      <c r="C619" s="2"/>
      <c r="D619" s="3"/>
      <c r="E619" s="3"/>
      <c r="F619" s="3"/>
      <c r="G619" s="3"/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>
      <c r="A620" s="2"/>
      <c r="B620" s="2"/>
      <c r="C620" s="2"/>
      <c r="D620" s="3"/>
      <c r="E620" s="3"/>
      <c r="F620" s="3"/>
      <c r="G620" s="3"/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>
      <c r="A621" s="2"/>
      <c r="B621" s="2"/>
      <c r="C621" s="2"/>
      <c r="D621" s="3"/>
      <c r="E621" s="3"/>
      <c r="F621" s="3"/>
      <c r="G621" s="3"/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>
      <c r="A622" s="2"/>
      <c r="B622" s="2"/>
      <c r="C622" s="2"/>
      <c r="D622" s="3"/>
      <c r="E622" s="3"/>
      <c r="F622" s="3"/>
      <c r="G622" s="3"/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>
      <c r="A623" s="2"/>
      <c r="B623" s="2"/>
      <c r="C623" s="2"/>
      <c r="D623" s="3"/>
      <c r="E623" s="3"/>
      <c r="F623" s="3"/>
      <c r="G623" s="3"/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>
      <c r="A624" s="2"/>
      <c r="B624" s="2"/>
      <c r="C624" s="2"/>
      <c r="D624" s="3"/>
      <c r="E624" s="3"/>
      <c r="F624" s="3"/>
      <c r="G624" s="3"/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>
      <c r="A625" s="2"/>
      <c r="B625" s="2"/>
      <c r="C625" s="2"/>
      <c r="D625" s="3"/>
      <c r="E625" s="3"/>
      <c r="F625" s="3"/>
      <c r="G625" s="3"/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>
      <c r="A626" s="2"/>
      <c r="B626" s="2"/>
      <c r="C626" s="2"/>
      <c r="D626" s="3"/>
      <c r="E626" s="3"/>
      <c r="F626" s="3"/>
      <c r="G626" s="3"/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>
      <c r="A627" s="2"/>
      <c r="B627" s="2"/>
      <c r="C627" s="2"/>
      <c r="D627" s="3"/>
      <c r="E627" s="3"/>
      <c r="F627" s="3"/>
      <c r="G627" s="3"/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>
      <c r="A628" s="2"/>
      <c r="B628" s="2"/>
      <c r="C628" s="2"/>
      <c r="D628" s="3"/>
      <c r="E628" s="3"/>
      <c r="F628" s="3"/>
      <c r="G628" s="3"/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>
      <c r="A629" s="2"/>
      <c r="B629" s="2"/>
      <c r="C629" s="2"/>
      <c r="D629" s="3"/>
      <c r="E629" s="3"/>
      <c r="F629" s="3"/>
      <c r="G629" s="3"/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>
      <c r="A630" s="2"/>
      <c r="B630" s="2"/>
      <c r="C630" s="2"/>
      <c r="D630" s="3"/>
      <c r="E630" s="3"/>
      <c r="F630" s="3"/>
      <c r="G630" s="3"/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>
      <c r="A631" s="2"/>
      <c r="B631" s="2"/>
      <c r="C631" s="2"/>
      <c r="D631" s="3"/>
      <c r="E631" s="3"/>
      <c r="F631" s="3"/>
      <c r="G631" s="3"/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>
      <c r="A632" s="2"/>
      <c r="B632" s="2"/>
      <c r="C632" s="2"/>
      <c r="D632" s="3"/>
      <c r="E632" s="3"/>
      <c r="F632" s="3"/>
      <c r="G632" s="3"/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>
      <c r="A633" s="2"/>
      <c r="B633" s="2"/>
      <c r="C633" s="2"/>
      <c r="D633" s="3"/>
      <c r="E633" s="3"/>
      <c r="F633" s="3"/>
      <c r="G633" s="3"/>
      <c r="H633" s="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>
      <c r="A634" s="2"/>
      <c r="B634" s="2"/>
      <c r="C634" s="2"/>
      <c r="D634" s="3"/>
      <c r="E634" s="3"/>
      <c r="F634" s="3"/>
      <c r="G634" s="3"/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>
      <c r="A635" s="2"/>
      <c r="B635" s="2"/>
      <c r="C635" s="2"/>
      <c r="D635" s="3"/>
      <c r="E635" s="3"/>
      <c r="F635" s="3"/>
      <c r="G635" s="3"/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>
      <c r="A636" s="2"/>
      <c r="B636" s="2"/>
      <c r="C636" s="2"/>
      <c r="D636" s="3"/>
      <c r="E636" s="3"/>
      <c r="F636" s="3"/>
      <c r="G636" s="3"/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>
      <c r="A637" s="2"/>
      <c r="B637" s="2"/>
      <c r="C637" s="2"/>
      <c r="D637" s="3"/>
      <c r="E637" s="3"/>
      <c r="F637" s="3"/>
      <c r="G637" s="3"/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>
      <c r="A638" s="2"/>
      <c r="B638" s="2"/>
      <c r="C638" s="2"/>
      <c r="D638" s="3"/>
      <c r="E638" s="3"/>
      <c r="F638" s="3"/>
      <c r="G638" s="3"/>
      <c r="H638" s="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>
      <c r="A639" s="2"/>
      <c r="B639" s="2"/>
      <c r="C639" s="2"/>
      <c r="D639" s="3"/>
      <c r="E639" s="3"/>
      <c r="F639" s="3"/>
      <c r="G639" s="3"/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>
      <c r="A640" s="2"/>
      <c r="B640" s="2"/>
      <c r="C640" s="2"/>
      <c r="D640" s="3"/>
      <c r="E640" s="3"/>
      <c r="F640" s="3"/>
      <c r="G640" s="3"/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>
      <c r="A641" s="2"/>
      <c r="B641" s="2"/>
      <c r="C641" s="2"/>
      <c r="D641" s="3"/>
      <c r="E641" s="3"/>
      <c r="F641" s="3"/>
      <c r="G641" s="3"/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>
      <c r="A642" s="2"/>
      <c r="B642" s="2"/>
      <c r="C642" s="2"/>
      <c r="D642" s="3"/>
      <c r="E642" s="3"/>
      <c r="F642" s="3"/>
      <c r="G642" s="3"/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>
      <c r="A643" s="2"/>
      <c r="B643" s="2"/>
      <c r="C643" s="2"/>
      <c r="D643" s="3"/>
      <c r="E643" s="3"/>
      <c r="F643" s="3"/>
      <c r="G643" s="3"/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>
      <c r="A644" s="2"/>
      <c r="B644" s="2"/>
      <c r="C644" s="2"/>
      <c r="D644" s="3"/>
      <c r="E644" s="3"/>
      <c r="F644" s="3"/>
      <c r="G644" s="3"/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>
      <c r="A645" s="2"/>
      <c r="B645" s="2"/>
      <c r="C645" s="2"/>
      <c r="D645" s="3"/>
      <c r="E645" s="3"/>
      <c r="F645" s="3"/>
      <c r="G645" s="3"/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>
      <c r="A646" s="2"/>
      <c r="B646" s="2"/>
      <c r="C646" s="2"/>
      <c r="D646" s="3"/>
      <c r="E646" s="3"/>
      <c r="F646" s="3"/>
      <c r="G646" s="3"/>
      <c r="H646" s="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>
      <c r="A647" s="2"/>
      <c r="B647" s="2"/>
      <c r="C647" s="2"/>
      <c r="D647" s="3"/>
      <c r="E647" s="3"/>
      <c r="F647" s="3"/>
      <c r="G647" s="3"/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>
      <c r="A648" s="2"/>
      <c r="B648" s="2"/>
      <c r="C648" s="2"/>
      <c r="D648" s="3"/>
      <c r="E648" s="3"/>
      <c r="F648" s="3"/>
      <c r="G648" s="3"/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>
      <c r="A649" s="2"/>
      <c r="B649" s="2"/>
      <c r="C649" s="2"/>
      <c r="D649" s="3"/>
      <c r="E649" s="3"/>
      <c r="F649" s="3"/>
      <c r="G649" s="3"/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>
      <c r="A650" s="2"/>
      <c r="B650" s="2"/>
      <c r="C650" s="2"/>
      <c r="D650" s="3"/>
      <c r="E650" s="3"/>
      <c r="F650" s="3"/>
      <c r="G650" s="3"/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>
      <c r="A651" s="2"/>
      <c r="B651" s="2"/>
      <c r="C651" s="2"/>
      <c r="D651" s="3"/>
      <c r="E651" s="3"/>
      <c r="F651" s="3"/>
      <c r="G651" s="3"/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>
      <c r="A652" s="2"/>
      <c r="B652" s="2"/>
      <c r="C652" s="2"/>
      <c r="D652" s="3"/>
      <c r="E652" s="3"/>
      <c r="F652" s="3"/>
      <c r="G652" s="3"/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>
      <c r="A653" s="2"/>
      <c r="B653" s="2"/>
      <c r="C653" s="2"/>
      <c r="D653" s="3"/>
      <c r="E653" s="3"/>
      <c r="F653" s="3"/>
      <c r="G653" s="3"/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>
      <c r="A654" s="2"/>
      <c r="B654" s="2"/>
      <c r="C654" s="2"/>
      <c r="D654" s="3"/>
      <c r="E654" s="3"/>
      <c r="F654" s="3"/>
      <c r="G654" s="3"/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>
      <c r="A655" s="2"/>
      <c r="B655" s="2"/>
      <c r="C655" s="2"/>
      <c r="D655" s="3"/>
      <c r="E655" s="3"/>
      <c r="F655" s="3"/>
      <c r="G655" s="3"/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>
      <c r="A656" s="2"/>
      <c r="B656" s="2"/>
      <c r="C656" s="2"/>
      <c r="D656" s="3"/>
      <c r="E656" s="3"/>
      <c r="F656" s="3"/>
      <c r="G656" s="3"/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>
      <c r="A657" s="2"/>
      <c r="B657" s="2"/>
      <c r="C657" s="2"/>
      <c r="D657" s="3"/>
      <c r="E657" s="3"/>
      <c r="F657" s="3"/>
      <c r="G657" s="3"/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>
      <c r="A658" s="2"/>
      <c r="B658" s="2"/>
      <c r="C658" s="2"/>
      <c r="D658" s="3"/>
      <c r="E658" s="3"/>
      <c r="F658" s="3"/>
      <c r="G658" s="3"/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>
      <c r="A659" s="2"/>
      <c r="B659" s="2"/>
      <c r="C659" s="2"/>
      <c r="D659" s="3"/>
      <c r="E659" s="3"/>
      <c r="F659" s="3"/>
      <c r="G659" s="3"/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>
      <c r="A660" s="2"/>
      <c r="B660" s="2"/>
      <c r="C660" s="2"/>
      <c r="D660" s="3"/>
      <c r="E660" s="3"/>
      <c r="F660" s="3"/>
      <c r="G660" s="3"/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>
      <c r="A661" s="2"/>
      <c r="B661" s="2"/>
      <c r="C661" s="2"/>
      <c r="D661" s="3"/>
      <c r="E661" s="3"/>
      <c r="F661" s="3"/>
      <c r="G661" s="3"/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>
      <c r="A662" s="2"/>
      <c r="B662" s="2"/>
      <c r="C662" s="2"/>
      <c r="D662" s="3"/>
      <c r="E662" s="3"/>
      <c r="F662" s="3"/>
      <c r="G662" s="3"/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>
      <c r="A663" s="2"/>
      <c r="B663" s="2"/>
      <c r="C663" s="2"/>
      <c r="D663" s="3"/>
      <c r="E663" s="3"/>
      <c r="F663" s="3"/>
      <c r="G663" s="3"/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>
      <c r="A664" s="2"/>
      <c r="B664" s="2"/>
      <c r="C664" s="2"/>
      <c r="D664" s="3"/>
      <c r="E664" s="3"/>
      <c r="F664" s="3"/>
      <c r="G664" s="3"/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>
      <c r="A665" s="2"/>
      <c r="B665" s="2"/>
      <c r="C665" s="2"/>
      <c r="D665" s="3"/>
      <c r="E665" s="3"/>
      <c r="F665" s="3"/>
      <c r="G665" s="3"/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>
      <c r="A666" s="2"/>
      <c r="B666" s="2"/>
      <c r="C666" s="2"/>
      <c r="D666" s="3"/>
      <c r="E666" s="3"/>
      <c r="F666" s="3"/>
      <c r="G666" s="3"/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>
      <c r="A667" s="2"/>
      <c r="B667" s="2"/>
      <c r="C667" s="2"/>
      <c r="D667" s="3"/>
      <c r="E667" s="3"/>
      <c r="F667" s="3"/>
      <c r="G667" s="3"/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>
      <c r="A668" s="2"/>
      <c r="B668" s="2"/>
      <c r="C668" s="2"/>
      <c r="D668" s="3"/>
      <c r="E668" s="3"/>
      <c r="F668" s="3"/>
      <c r="G668" s="3"/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>
      <c r="A669" s="2"/>
      <c r="B669" s="2"/>
      <c r="C669" s="2"/>
      <c r="D669" s="3"/>
      <c r="E669" s="3"/>
      <c r="F669" s="3"/>
      <c r="G669" s="3"/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>
      <c r="A670" s="2"/>
      <c r="B670" s="2"/>
      <c r="C670" s="2"/>
      <c r="D670" s="3"/>
      <c r="E670" s="3"/>
      <c r="F670" s="3"/>
      <c r="G670" s="3"/>
      <c r="H670" s="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>
      <c r="A671" s="2"/>
      <c r="B671" s="2"/>
      <c r="C671" s="2"/>
      <c r="D671" s="3"/>
      <c r="E671" s="3"/>
      <c r="F671" s="3"/>
      <c r="G671" s="3"/>
      <c r="H671" s="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>
      <c r="A672" s="2"/>
      <c r="B672" s="2"/>
      <c r="C672" s="2"/>
      <c r="D672" s="3"/>
      <c r="E672" s="3"/>
      <c r="F672" s="3"/>
      <c r="G672" s="3"/>
      <c r="H672" s="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>
      <c r="A673" s="2"/>
      <c r="B673" s="2"/>
      <c r="C673" s="2"/>
      <c r="D673" s="3"/>
      <c r="E673" s="3"/>
      <c r="F673" s="3"/>
      <c r="G673" s="3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>
      <c r="A674" s="2"/>
      <c r="B674" s="2"/>
      <c r="C674" s="2"/>
      <c r="D674" s="3"/>
      <c r="E674" s="3"/>
      <c r="F674" s="3"/>
      <c r="G674" s="3"/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>
      <c r="A675" s="2"/>
      <c r="B675" s="2"/>
      <c r="C675" s="2"/>
      <c r="D675" s="3"/>
      <c r="E675" s="3"/>
      <c r="F675" s="3"/>
      <c r="G675" s="3"/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>
      <c r="A676" s="2"/>
      <c r="B676" s="2"/>
      <c r="C676" s="2"/>
      <c r="D676" s="3"/>
      <c r="E676" s="3"/>
      <c r="F676" s="3"/>
      <c r="G676" s="3"/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>
      <c r="A677" s="2"/>
      <c r="B677" s="2"/>
      <c r="C677" s="2"/>
      <c r="D677" s="3"/>
      <c r="E677" s="3"/>
      <c r="F677" s="3"/>
      <c r="G677" s="3"/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>
      <c r="A678" s="2"/>
      <c r="B678" s="2"/>
      <c r="C678" s="2"/>
      <c r="D678" s="3"/>
      <c r="E678" s="3"/>
      <c r="F678" s="3"/>
      <c r="G678" s="3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>
      <c r="A679" s="2"/>
      <c r="B679" s="2"/>
      <c r="C679" s="2"/>
      <c r="D679" s="3"/>
      <c r="E679" s="3"/>
      <c r="F679" s="3"/>
      <c r="G679" s="3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>
      <c r="A680" s="2"/>
      <c r="B680" s="2"/>
      <c r="C680" s="2"/>
      <c r="D680" s="3"/>
      <c r="E680" s="3"/>
      <c r="F680" s="3"/>
      <c r="G680" s="3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>
      <c r="A681" s="2"/>
      <c r="B681" s="2"/>
      <c r="C681" s="2"/>
      <c r="D681" s="3"/>
      <c r="E681" s="3"/>
      <c r="F681" s="3"/>
      <c r="G681" s="3"/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>
      <c r="A682" s="2"/>
      <c r="B682" s="2"/>
      <c r="C682" s="2"/>
      <c r="D682" s="3"/>
      <c r="E682" s="3"/>
      <c r="F682" s="3"/>
      <c r="G682" s="3"/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>
      <c r="A683" s="2"/>
      <c r="B683" s="2"/>
      <c r="C683" s="2"/>
      <c r="D683" s="3"/>
      <c r="E683" s="3"/>
      <c r="F683" s="3"/>
      <c r="G683" s="3"/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>
      <c r="A684" s="2"/>
      <c r="B684" s="2"/>
      <c r="C684" s="2"/>
      <c r="D684" s="3"/>
      <c r="E684" s="3"/>
      <c r="F684" s="3"/>
      <c r="G684" s="3"/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>
      <c r="A685" s="2"/>
      <c r="B685" s="2"/>
      <c r="C685" s="2"/>
      <c r="D685" s="3"/>
      <c r="E685" s="3"/>
      <c r="F685" s="3"/>
      <c r="G685" s="3"/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>
      <c r="A686" s="2"/>
      <c r="B686" s="2"/>
      <c r="C686" s="2"/>
      <c r="D686" s="3"/>
      <c r="E686" s="3"/>
      <c r="F686" s="3"/>
      <c r="G686" s="3"/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>
      <c r="A687" s="2"/>
      <c r="B687" s="2"/>
      <c r="C687" s="2"/>
      <c r="D687" s="3"/>
      <c r="E687" s="3"/>
      <c r="F687" s="3"/>
      <c r="G687" s="3"/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>
      <c r="A688" s="2"/>
      <c r="B688" s="2"/>
      <c r="C688" s="2"/>
      <c r="D688" s="3"/>
      <c r="E688" s="3"/>
      <c r="F688" s="3"/>
      <c r="G688" s="3"/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>
      <c r="A689" s="2"/>
      <c r="B689" s="2"/>
      <c r="C689" s="2"/>
      <c r="D689" s="3"/>
      <c r="E689" s="3"/>
      <c r="F689" s="3"/>
      <c r="G689" s="3"/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>
      <c r="A690" s="2"/>
      <c r="B690" s="2"/>
      <c r="C690" s="2"/>
      <c r="D690" s="3"/>
      <c r="E690" s="3"/>
      <c r="F690" s="3"/>
      <c r="G690" s="3"/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>
      <c r="A691" s="2"/>
      <c r="B691" s="2"/>
      <c r="C691" s="2"/>
      <c r="D691" s="3"/>
      <c r="E691" s="3"/>
      <c r="F691" s="3"/>
      <c r="G691" s="3"/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>
      <c r="A692" s="2"/>
      <c r="B692" s="2"/>
      <c r="C692" s="2"/>
      <c r="D692" s="3"/>
      <c r="E692" s="3"/>
      <c r="F692" s="3"/>
      <c r="G692" s="3"/>
      <c r="H692" s="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>
      <c r="A693" s="2"/>
      <c r="B693" s="2"/>
      <c r="C693" s="2"/>
      <c r="D693" s="3"/>
      <c r="E693" s="3"/>
      <c r="F693" s="3"/>
      <c r="G693" s="3"/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>
      <c r="A694" s="2"/>
      <c r="B694" s="2"/>
      <c r="C694" s="2"/>
      <c r="D694" s="3"/>
      <c r="E694" s="3"/>
      <c r="F694" s="3"/>
      <c r="G694" s="3"/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>
      <c r="A695" s="2"/>
      <c r="B695" s="2"/>
      <c r="C695" s="2"/>
      <c r="D695" s="3"/>
      <c r="E695" s="3"/>
      <c r="F695" s="3"/>
      <c r="G695" s="3"/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>
      <c r="A696" s="2"/>
      <c r="B696" s="2"/>
      <c r="C696" s="2"/>
      <c r="D696" s="3"/>
      <c r="E696" s="3"/>
      <c r="F696" s="3"/>
      <c r="G696" s="3"/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>
      <c r="A697" s="2"/>
      <c r="B697" s="2"/>
      <c r="C697" s="2"/>
      <c r="D697" s="3"/>
      <c r="E697" s="3"/>
      <c r="F697" s="3"/>
      <c r="G697" s="3"/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>
      <c r="A698" s="2"/>
      <c r="B698" s="2"/>
      <c r="C698" s="2"/>
      <c r="D698" s="3"/>
      <c r="E698" s="3"/>
      <c r="F698" s="3"/>
      <c r="G698" s="3"/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>
      <c r="A699" s="2"/>
      <c r="B699" s="2"/>
      <c r="C699" s="2"/>
      <c r="D699" s="3"/>
      <c r="E699" s="3"/>
      <c r="F699" s="3"/>
      <c r="G699" s="3"/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>
      <c r="A700" s="2"/>
      <c r="B700" s="2"/>
      <c r="C700" s="2"/>
      <c r="D700" s="3"/>
      <c r="E700" s="3"/>
      <c r="F700" s="3"/>
      <c r="G700" s="3"/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>
      <c r="A701" s="2"/>
      <c r="B701" s="2"/>
      <c r="C701" s="2"/>
      <c r="D701" s="3"/>
      <c r="E701" s="3"/>
      <c r="F701" s="3"/>
      <c r="G701" s="3"/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>
      <c r="A702" s="2"/>
      <c r="B702" s="2"/>
      <c r="C702" s="2"/>
      <c r="D702" s="3"/>
      <c r="E702" s="3"/>
      <c r="F702" s="3"/>
      <c r="G702" s="3"/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>
      <c r="A703" s="2"/>
      <c r="B703" s="2"/>
      <c r="C703" s="2"/>
      <c r="D703" s="3"/>
      <c r="E703" s="3"/>
      <c r="F703" s="3"/>
      <c r="G703" s="3"/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>
      <c r="A704" s="2"/>
      <c r="B704" s="2"/>
      <c r="C704" s="2"/>
      <c r="D704" s="3"/>
      <c r="E704" s="3"/>
      <c r="F704" s="3"/>
      <c r="G704" s="3"/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>
      <c r="A705" s="2"/>
      <c r="B705" s="2"/>
      <c r="C705" s="2"/>
      <c r="D705" s="3"/>
      <c r="E705" s="3"/>
      <c r="F705" s="3"/>
      <c r="G705" s="3"/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>
      <c r="A706" s="2"/>
      <c r="B706" s="2"/>
      <c r="C706" s="2"/>
      <c r="D706" s="3"/>
      <c r="E706" s="3"/>
      <c r="F706" s="3"/>
      <c r="G706" s="3"/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>
      <c r="A707" s="2"/>
      <c r="B707" s="2"/>
      <c r="C707" s="2"/>
      <c r="D707" s="3"/>
      <c r="E707" s="3"/>
      <c r="F707" s="3"/>
      <c r="G707" s="3"/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>
      <c r="A708" s="2"/>
      <c r="B708" s="2"/>
      <c r="C708" s="2"/>
      <c r="D708" s="3"/>
      <c r="E708" s="3"/>
      <c r="F708" s="3"/>
      <c r="G708" s="3"/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>
      <c r="A709" s="2"/>
      <c r="B709" s="2"/>
      <c r="C709" s="2"/>
      <c r="D709" s="3"/>
      <c r="E709" s="3"/>
      <c r="F709" s="3"/>
      <c r="G709" s="3"/>
      <c r="H709" s="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>
      <c r="A710" s="2"/>
      <c r="B710" s="2"/>
      <c r="C710" s="2"/>
      <c r="D710" s="3"/>
      <c r="E710" s="3"/>
      <c r="F710" s="3"/>
      <c r="G710" s="3"/>
      <c r="H710" s="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>
      <c r="A711" s="2"/>
      <c r="B711" s="2"/>
      <c r="C711" s="2"/>
      <c r="D711" s="3"/>
      <c r="E711" s="3"/>
      <c r="F711" s="3"/>
      <c r="G711" s="3"/>
      <c r="H711" s="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>
      <c r="A712" s="2"/>
      <c r="B712" s="2"/>
      <c r="C712" s="2"/>
      <c r="D712" s="3"/>
      <c r="E712" s="3"/>
      <c r="F712" s="3"/>
      <c r="G712" s="3"/>
      <c r="H712" s="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>
      <c r="A713" s="2"/>
      <c r="B713" s="2"/>
      <c r="C713" s="2"/>
      <c r="D713" s="3"/>
      <c r="E713" s="3"/>
      <c r="F713" s="3"/>
      <c r="G713" s="3"/>
      <c r="H713" s="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>
      <c r="A714" s="2"/>
      <c r="B714" s="2"/>
      <c r="C714" s="2"/>
      <c r="D714" s="3"/>
      <c r="E714" s="3"/>
      <c r="F714" s="3"/>
      <c r="G714" s="3"/>
      <c r="H714" s="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>
      <c r="A715" s="2"/>
      <c r="B715" s="2"/>
      <c r="C715" s="2"/>
      <c r="D715" s="3"/>
      <c r="E715" s="3"/>
      <c r="F715" s="3"/>
      <c r="G715" s="3"/>
      <c r="H715" s="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>
      <c r="A716" s="2"/>
      <c r="B716" s="2"/>
      <c r="C716" s="2"/>
      <c r="D716" s="3"/>
      <c r="E716" s="3"/>
      <c r="F716" s="3"/>
      <c r="G716" s="3"/>
      <c r="H716" s="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>
      <c r="A717" s="2"/>
      <c r="B717" s="2"/>
      <c r="C717" s="2"/>
      <c r="D717" s="3"/>
      <c r="E717" s="3"/>
      <c r="F717" s="3"/>
      <c r="G717" s="3"/>
      <c r="H717" s="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>
      <c r="A718" s="2"/>
      <c r="B718" s="2"/>
      <c r="C718" s="2"/>
      <c r="D718" s="3"/>
      <c r="E718" s="3"/>
      <c r="F718" s="3"/>
      <c r="G718" s="3"/>
      <c r="H718" s="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>
      <c r="A719" s="2"/>
      <c r="B719" s="2"/>
      <c r="C719" s="2"/>
      <c r="D719" s="3"/>
      <c r="E719" s="3"/>
      <c r="F719" s="3"/>
      <c r="G719" s="3"/>
      <c r="H719" s="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>
      <c r="A720" s="2"/>
      <c r="B720" s="2"/>
      <c r="C720" s="2"/>
      <c r="D720" s="3"/>
      <c r="E720" s="3"/>
      <c r="F720" s="3"/>
      <c r="G720" s="3"/>
      <c r="H720" s="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>
      <c r="A721" s="2"/>
      <c r="B721" s="2"/>
      <c r="C721" s="2"/>
      <c r="D721" s="3"/>
      <c r="E721" s="3"/>
      <c r="F721" s="3"/>
      <c r="G721" s="3"/>
      <c r="H721" s="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>
      <c r="A722" s="2"/>
      <c r="B722" s="2"/>
      <c r="C722" s="2"/>
      <c r="D722" s="3"/>
      <c r="E722" s="3"/>
      <c r="F722" s="3"/>
      <c r="G722" s="3"/>
      <c r="H722" s="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>
      <c r="A723" s="2"/>
      <c r="B723" s="2"/>
      <c r="C723" s="2"/>
      <c r="D723" s="3"/>
      <c r="E723" s="3"/>
      <c r="F723" s="3"/>
      <c r="G723" s="3"/>
      <c r="H723" s="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>
      <c r="A724" s="2"/>
      <c r="B724" s="2"/>
      <c r="C724" s="2"/>
      <c r="D724" s="3"/>
      <c r="E724" s="3"/>
      <c r="F724" s="3"/>
      <c r="G724" s="3"/>
      <c r="H724" s="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>
      <c r="A725" s="2"/>
      <c r="B725" s="2"/>
      <c r="C725" s="2"/>
      <c r="D725" s="3"/>
      <c r="E725" s="3"/>
      <c r="F725" s="3"/>
      <c r="G725" s="3"/>
      <c r="H725" s="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>
      <c r="A726" s="2"/>
      <c r="B726" s="2"/>
      <c r="C726" s="2"/>
      <c r="D726" s="3"/>
      <c r="E726" s="3"/>
      <c r="F726" s="3"/>
      <c r="G726" s="3"/>
      <c r="H726" s="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>
      <c r="A727" s="2"/>
      <c r="B727" s="2"/>
      <c r="C727" s="2"/>
      <c r="D727" s="3"/>
      <c r="E727" s="3"/>
      <c r="F727" s="3"/>
      <c r="G727" s="3"/>
      <c r="H727" s="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>
      <c r="A728" s="2"/>
      <c r="B728" s="2"/>
      <c r="C728" s="2"/>
      <c r="D728" s="3"/>
      <c r="E728" s="3"/>
      <c r="F728" s="3"/>
      <c r="G728" s="3"/>
      <c r="H728" s="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>
      <c r="A729" s="2"/>
      <c r="B729" s="2"/>
      <c r="C729" s="2"/>
      <c r="D729" s="3"/>
      <c r="E729" s="3"/>
      <c r="F729" s="3"/>
      <c r="G729" s="3"/>
      <c r="H729" s="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>
      <c r="A730" s="2"/>
      <c r="B730" s="2"/>
      <c r="C730" s="2"/>
      <c r="D730" s="3"/>
      <c r="E730" s="3"/>
      <c r="F730" s="3"/>
      <c r="G730" s="3"/>
      <c r="H730" s="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>
      <c r="A731" s="2"/>
      <c r="B731" s="2"/>
      <c r="C731" s="2"/>
      <c r="D731" s="3"/>
      <c r="E731" s="3"/>
      <c r="F731" s="3"/>
      <c r="G731" s="3"/>
      <c r="H731" s="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>
      <c r="A732" s="2"/>
      <c r="B732" s="2"/>
      <c r="C732" s="2"/>
      <c r="D732" s="3"/>
      <c r="E732" s="3"/>
      <c r="F732" s="3"/>
      <c r="G732" s="3"/>
      <c r="H732" s="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>
      <c r="A733" s="2"/>
      <c r="B733" s="2"/>
      <c r="C733" s="2"/>
      <c r="D733" s="3"/>
      <c r="E733" s="3"/>
      <c r="F733" s="3"/>
      <c r="G733" s="3"/>
      <c r="H733" s="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>
      <c r="A734" s="2"/>
      <c r="B734" s="2"/>
      <c r="C734" s="2"/>
      <c r="D734" s="3"/>
      <c r="E734" s="3"/>
      <c r="F734" s="3"/>
      <c r="G734" s="3"/>
      <c r="H734" s="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>
      <c r="A735" s="2"/>
      <c r="B735" s="2"/>
      <c r="C735" s="2"/>
      <c r="D735" s="3"/>
      <c r="E735" s="3"/>
      <c r="F735" s="3"/>
      <c r="G735" s="3"/>
      <c r="H735" s="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>
      <c r="A736" s="2"/>
      <c r="B736" s="2"/>
      <c r="C736" s="2"/>
      <c r="D736" s="3"/>
      <c r="E736" s="3"/>
      <c r="F736" s="3"/>
      <c r="G736" s="3"/>
      <c r="H736" s="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>
      <c r="A737" s="2"/>
      <c r="B737" s="2"/>
      <c r="C737" s="2"/>
      <c r="D737" s="3"/>
      <c r="E737" s="3"/>
      <c r="F737" s="3"/>
      <c r="G737" s="3"/>
      <c r="H737" s="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>
      <c r="A738" s="2"/>
      <c r="B738" s="2"/>
      <c r="C738" s="2"/>
      <c r="D738" s="3"/>
      <c r="E738" s="3"/>
      <c r="F738" s="3"/>
      <c r="G738" s="3"/>
      <c r="H738" s="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>
      <c r="A739" s="2"/>
      <c r="B739" s="2"/>
      <c r="C739" s="2"/>
      <c r="D739" s="3"/>
      <c r="E739" s="3"/>
      <c r="F739" s="3"/>
      <c r="G739" s="3"/>
      <c r="H739" s="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>
      <c r="A740" s="2"/>
      <c r="B740" s="2"/>
      <c r="C740" s="2"/>
      <c r="D740" s="3"/>
      <c r="E740" s="3"/>
      <c r="F740" s="3"/>
      <c r="G740" s="3"/>
      <c r="H740" s="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>
      <c r="A741" s="2"/>
      <c r="B741" s="2"/>
      <c r="C741" s="2"/>
      <c r="D741" s="3"/>
      <c r="E741" s="3"/>
      <c r="F741" s="3"/>
      <c r="G741" s="3"/>
      <c r="H741" s="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>
      <c r="A742" s="2"/>
      <c r="B742" s="2"/>
      <c r="C742" s="2"/>
      <c r="D742" s="3"/>
      <c r="E742" s="3"/>
      <c r="F742" s="3"/>
      <c r="G742" s="3"/>
      <c r="H742" s="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>
      <c r="A743" s="2"/>
      <c r="B743" s="2"/>
      <c r="C743" s="2"/>
      <c r="D743" s="3"/>
      <c r="E743" s="3"/>
      <c r="F743" s="3"/>
      <c r="G743" s="3"/>
      <c r="H743" s="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>
      <c r="A744" s="2"/>
      <c r="B744" s="2"/>
      <c r="C744" s="2"/>
      <c r="D744" s="3"/>
      <c r="E744" s="3"/>
      <c r="F744" s="3"/>
      <c r="G744" s="3"/>
      <c r="H744" s="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>
      <c r="A745" s="2"/>
      <c r="B745" s="2"/>
      <c r="C745" s="2"/>
      <c r="D745" s="3"/>
      <c r="E745" s="3"/>
      <c r="F745" s="3"/>
      <c r="G745" s="3"/>
      <c r="H745" s="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>
      <c r="A746" s="2"/>
      <c r="B746" s="2"/>
      <c r="C746" s="2"/>
      <c r="D746" s="3"/>
      <c r="E746" s="3"/>
      <c r="F746" s="3"/>
      <c r="G746" s="3"/>
      <c r="H746" s="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>
      <c r="A747" s="2"/>
      <c r="B747" s="2"/>
      <c r="C747" s="2"/>
      <c r="D747" s="3"/>
      <c r="E747" s="3"/>
      <c r="F747" s="3"/>
      <c r="G747" s="3"/>
      <c r="H747" s="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>
      <c r="A748" s="2"/>
      <c r="B748" s="2"/>
      <c r="C748" s="2"/>
      <c r="D748" s="3"/>
      <c r="E748" s="3"/>
      <c r="F748" s="3"/>
      <c r="G748" s="3"/>
      <c r="H748" s="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>
      <c r="A749" s="2"/>
      <c r="B749" s="2"/>
      <c r="C749" s="2"/>
      <c r="D749" s="3"/>
      <c r="E749" s="3"/>
      <c r="F749" s="3"/>
      <c r="G749" s="3"/>
      <c r="H749" s="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>
      <c r="A750" s="2"/>
      <c r="B750" s="2"/>
      <c r="C750" s="2"/>
      <c r="D750" s="3"/>
      <c r="E750" s="3"/>
      <c r="F750" s="3"/>
      <c r="G750" s="3"/>
      <c r="H750" s="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>
      <c r="A751" s="2"/>
      <c r="B751" s="2"/>
      <c r="C751" s="2"/>
      <c r="D751" s="3"/>
      <c r="E751" s="3"/>
      <c r="F751" s="3"/>
      <c r="G751" s="3"/>
      <c r="H751" s="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>
      <c r="A752" s="2"/>
      <c r="B752" s="2"/>
      <c r="C752" s="2"/>
      <c r="D752" s="3"/>
      <c r="E752" s="3"/>
      <c r="F752" s="3"/>
      <c r="G752" s="3"/>
      <c r="H752" s="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>
      <c r="A753" s="2"/>
      <c r="B753" s="2"/>
      <c r="C753" s="2"/>
      <c r="D753" s="3"/>
      <c r="E753" s="3"/>
      <c r="F753" s="3"/>
      <c r="G753" s="3"/>
      <c r="H753" s="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>
      <c r="A754" s="2"/>
      <c r="B754" s="2"/>
      <c r="C754" s="2"/>
      <c r="D754" s="3"/>
      <c r="E754" s="3"/>
      <c r="F754" s="3"/>
      <c r="G754" s="3"/>
      <c r="H754" s="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>
      <c r="A755" s="2"/>
      <c r="B755" s="2"/>
      <c r="C755" s="2"/>
      <c r="D755" s="3"/>
      <c r="E755" s="3"/>
      <c r="F755" s="3"/>
      <c r="G755" s="3"/>
      <c r="H755" s="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>
      <c r="A756" s="2"/>
      <c r="B756" s="2"/>
      <c r="C756" s="2"/>
      <c r="D756" s="3"/>
      <c r="E756" s="3"/>
      <c r="F756" s="3"/>
      <c r="G756" s="3"/>
      <c r="H756" s="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>
      <c r="A757" s="2"/>
      <c r="B757" s="2"/>
      <c r="C757" s="2"/>
      <c r="D757" s="3"/>
      <c r="E757" s="3"/>
      <c r="F757" s="3"/>
      <c r="G757" s="3"/>
      <c r="H757" s="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>
      <c r="A758" s="2"/>
      <c r="B758" s="2"/>
      <c r="C758" s="2"/>
      <c r="D758" s="3"/>
      <c r="E758" s="3"/>
      <c r="F758" s="3"/>
      <c r="G758" s="3"/>
      <c r="H758" s="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>
      <c r="A759" s="2"/>
      <c r="B759" s="2"/>
      <c r="C759" s="2"/>
      <c r="D759" s="3"/>
      <c r="E759" s="3"/>
      <c r="F759" s="3"/>
      <c r="G759" s="3"/>
      <c r="H759" s="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>
      <c r="A760" s="2"/>
      <c r="B760" s="2"/>
      <c r="C760" s="2"/>
      <c r="D760" s="3"/>
      <c r="E760" s="3"/>
      <c r="F760" s="3"/>
      <c r="G760" s="3"/>
      <c r="H760" s="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>
      <c r="A761" s="2"/>
      <c r="B761" s="2"/>
      <c r="C761" s="2"/>
      <c r="D761" s="3"/>
      <c r="E761" s="3"/>
      <c r="F761" s="3"/>
      <c r="G761" s="3"/>
      <c r="H761" s="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>
      <c r="A762" s="2"/>
      <c r="B762" s="2"/>
      <c r="C762" s="2"/>
      <c r="D762" s="3"/>
      <c r="E762" s="3"/>
      <c r="F762" s="3"/>
      <c r="G762" s="3"/>
      <c r="H762" s="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>
      <c r="A763" s="2"/>
      <c r="B763" s="2"/>
      <c r="C763" s="2"/>
      <c r="D763" s="3"/>
      <c r="E763" s="3"/>
      <c r="F763" s="3"/>
      <c r="G763" s="3"/>
      <c r="H763" s="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>
      <c r="A764" s="2"/>
      <c r="B764" s="2"/>
      <c r="C764" s="2"/>
      <c r="D764" s="3"/>
      <c r="E764" s="3"/>
      <c r="F764" s="3"/>
      <c r="G764" s="3"/>
      <c r="H764" s="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>
      <c r="A765" s="2"/>
      <c r="B765" s="2"/>
      <c r="C765" s="2"/>
      <c r="D765" s="3"/>
      <c r="E765" s="3"/>
      <c r="F765" s="3"/>
      <c r="G765" s="3"/>
      <c r="H765" s="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>
      <c r="A766" s="2"/>
      <c r="B766" s="2"/>
      <c r="C766" s="2"/>
      <c r="D766" s="3"/>
      <c r="E766" s="3"/>
      <c r="F766" s="3"/>
      <c r="G766" s="3"/>
      <c r="H766" s="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>
      <c r="A767" s="2"/>
      <c r="B767" s="2"/>
      <c r="C767" s="2"/>
      <c r="D767" s="3"/>
      <c r="E767" s="3"/>
      <c r="F767" s="3"/>
      <c r="G767" s="3"/>
      <c r="H767" s="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>
      <c r="A768" s="2"/>
      <c r="B768" s="2"/>
      <c r="C768" s="2"/>
      <c r="D768" s="3"/>
      <c r="E768" s="3"/>
      <c r="F768" s="3"/>
      <c r="G768" s="3"/>
      <c r="H768" s="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>
      <c r="A769" s="2"/>
      <c r="B769" s="2"/>
      <c r="C769" s="2"/>
      <c r="D769" s="3"/>
      <c r="E769" s="3"/>
      <c r="F769" s="3"/>
      <c r="G769" s="3"/>
      <c r="H769" s="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>
      <c r="A770" s="2"/>
      <c r="B770" s="2"/>
      <c r="C770" s="2"/>
      <c r="D770" s="3"/>
      <c r="E770" s="3"/>
      <c r="F770" s="3"/>
      <c r="G770" s="3"/>
      <c r="H770" s="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>
      <c r="A771" s="2"/>
      <c r="B771" s="2"/>
      <c r="C771" s="2"/>
      <c r="D771" s="3"/>
      <c r="E771" s="3"/>
      <c r="F771" s="3"/>
      <c r="G771" s="3"/>
      <c r="H771" s="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>
      <c r="A772" s="2"/>
      <c r="B772" s="2"/>
      <c r="C772" s="2"/>
      <c r="D772" s="3"/>
      <c r="E772" s="3"/>
      <c r="F772" s="3"/>
      <c r="G772" s="3"/>
      <c r="H772" s="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>
      <c r="A773" s="2"/>
      <c r="B773" s="2"/>
      <c r="C773" s="2"/>
      <c r="D773" s="3"/>
      <c r="E773" s="3"/>
      <c r="F773" s="3"/>
      <c r="G773" s="3"/>
      <c r="H773" s="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>
      <c r="A774" s="2"/>
      <c r="B774" s="2"/>
      <c r="C774" s="2"/>
      <c r="D774" s="3"/>
      <c r="E774" s="3"/>
      <c r="F774" s="3"/>
      <c r="G774" s="3"/>
      <c r="H774" s="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>
      <c r="A775" s="2"/>
      <c r="B775" s="2"/>
      <c r="C775" s="2"/>
      <c r="D775" s="3"/>
      <c r="E775" s="3"/>
      <c r="F775" s="3"/>
      <c r="G775" s="3"/>
      <c r="H775" s="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>
      <c r="A776" s="2"/>
      <c r="B776" s="2"/>
      <c r="C776" s="2"/>
      <c r="D776" s="3"/>
      <c r="E776" s="3"/>
      <c r="F776" s="3"/>
      <c r="G776" s="3"/>
      <c r="H776" s="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>
      <c r="A777" s="2"/>
      <c r="B777" s="2"/>
      <c r="C777" s="2"/>
      <c r="D777" s="3"/>
      <c r="E777" s="3"/>
      <c r="F777" s="3"/>
      <c r="G777" s="3"/>
      <c r="H777" s="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>
      <c r="A778" s="2"/>
      <c r="B778" s="2"/>
      <c r="C778" s="2"/>
      <c r="D778" s="3"/>
      <c r="E778" s="3"/>
      <c r="F778" s="3"/>
      <c r="G778" s="3"/>
      <c r="H778" s="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>
      <c r="A779" s="2"/>
      <c r="B779" s="2"/>
      <c r="C779" s="2"/>
      <c r="D779" s="3"/>
      <c r="E779" s="3"/>
      <c r="F779" s="3"/>
      <c r="G779" s="3"/>
      <c r="H779" s="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>
      <c r="A780" s="2"/>
      <c r="B780" s="2"/>
      <c r="C780" s="2"/>
      <c r="D780" s="3"/>
      <c r="E780" s="3"/>
      <c r="F780" s="3"/>
      <c r="G780" s="3"/>
      <c r="H780" s="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>
      <c r="A781" s="2"/>
      <c r="B781" s="2"/>
      <c r="C781" s="2"/>
      <c r="D781" s="3"/>
      <c r="E781" s="3"/>
      <c r="F781" s="3"/>
      <c r="G781" s="3"/>
      <c r="H781" s="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>
      <c r="A782" s="2"/>
      <c r="B782" s="2"/>
      <c r="C782" s="2"/>
      <c r="D782" s="3"/>
      <c r="E782" s="3"/>
      <c r="F782" s="3"/>
      <c r="G782" s="3"/>
      <c r="H782" s="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>
      <c r="A783" s="2"/>
      <c r="B783" s="2"/>
      <c r="C783" s="2"/>
      <c r="D783" s="3"/>
      <c r="E783" s="3"/>
      <c r="F783" s="3"/>
      <c r="G783" s="3"/>
      <c r="H783" s="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>
      <c r="A784" s="2"/>
      <c r="B784" s="2"/>
      <c r="C784" s="2"/>
      <c r="D784" s="3"/>
      <c r="E784" s="3"/>
      <c r="F784" s="3"/>
      <c r="G784" s="3"/>
      <c r="H784" s="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>
      <c r="A785" s="2"/>
      <c r="B785" s="2"/>
      <c r="C785" s="2"/>
      <c r="D785" s="3"/>
      <c r="E785" s="3"/>
      <c r="F785" s="3"/>
      <c r="G785" s="3"/>
      <c r="H785" s="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>
      <c r="A786" s="2"/>
      <c r="B786" s="2"/>
      <c r="C786" s="2"/>
      <c r="D786" s="3"/>
      <c r="E786" s="3"/>
      <c r="F786" s="3"/>
      <c r="G786" s="3"/>
      <c r="H786" s="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>
      <c r="A787" s="2"/>
      <c r="B787" s="2"/>
      <c r="C787" s="2"/>
      <c r="D787" s="3"/>
      <c r="E787" s="3"/>
      <c r="F787" s="3"/>
      <c r="G787" s="3"/>
      <c r="H787" s="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>
      <c r="A788" s="2"/>
      <c r="B788" s="2"/>
      <c r="C788" s="2"/>
      <c r="D788" s="3"/>
      <c r="E788" s="3"/>
      <c r="F788" s="3"/>
      <c r="G788" s="3"/>
      <c r="H788" s="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>
      <c r="A789" s="2"/>
      <c r="B789" s="2"/>
      <c r="C789" s="2"/>
      <c r="D789" s="3"/>
      <c r="E789" s="3"/>
      <c r="F789" s="3"/>
      <c r="G789" s="3"/>
      <c r="H789" s="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>
      <c r="A790" s="2"/>
      <c r="B790" s="2"/>
      <c r="C790" s="2"/>
      <c r="D790" s="3"/>
      <c r="E790" s="3"/>
      <c r="F790" s="3"/>
      <c r="G790" s="3"/>
      <c r="H790" s="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>
      <c r="A791" s="2"/>
      <c r="B791" s="2"/>
      <c r="C791" s="2"/>
      <c r="D791" s="3"/>
      <c r="E791" s="3"/>
      <c r="F791" s="3"/>
      <c r="G791" s="3"/>
      <c r="H791" s="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>
      <c r="A792" s="2"/>
      <c r="B792" s="2"/>
      <c r="C792" s="2"/>
      <c r="D792" s="3"/>
      <c r="E792" s="3"/>
      <c r="F792" s="3"/>
      <c r="G792" s="3"/>
      <c r="H792" s="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>
      <c r="A793" s="2"/>
      <c r="B793" s="2"/>
      <c r="C793" s="2"/>
      <c r="D793" s="3"/>
      <c r="E793" s="3"/>
      <c r="F793" s="3"/>
      <c r="G793" s="3"/>
      <c r="H793" s="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>
      <c r="A794" s="2"/>
      <c r="B794" s="2"/>
      <c r="C794" s="2"/>
      <c r="D794" s="3"/>
      <c r="E794" s="3"/>
      <c r="F794" s="3"/>
      <c r="G794" s="3"/>
      <c r="H794" s="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>
      <c r="A795" s="2"/>
      <c r="B795" s="2"/>
      <c r="C795" s="2"/>
      <c r="D795" s="3"/>
      <c r="E795" s="3"/>
      <c r="F795" s="3"/>
      <c r="G795" s="3"/>
      <c r="H795" s="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>
      <c r="A796" s="2"/>
      <c r="B796" s="2"/>
      <c r="C796" s="2"/>
      <c r="D796" s="3"/>
      <c r="E796" s="3"/>
      <c r="F796" s="3"/>
      <c r="G796" s="3"/>
      <c r="H796" s="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>
      <c r="A797" s="2"/>
      <c r="B797" s="2"/>
      <c r="C797" s="2"/>
      <c r="D797" s="3"/>
      <c r="E797" s="3"/>
      <c r="F797" s="3"/>
      <c r="G797" s="3"/>
      <c r="H797" s="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>
      <c r="A798" s="2"/>
      <c r="B798" s="2"/>
      <c r="C798" s="2"/>
      <c r="D798" s="3"/>
      <c r="E798" s="3"/>
      <c r="F798" s="3"/>
      <c r="G798" s="3"/>
      <c r="H798" s="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>
      <c r="A799" s="2"/>
      <c r="B799" s="2"/>
      <c r="C799" s="2"/>
      <c r="D799" s="3"/>
      <c r="E799" s="3"/>
      <c r="F799" s="3"/>
      <c r="G799" s="3"/>
      <c r="H799" s="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>
      <c r="A800" s="2"/>
      <c r="B800" s="2"/>
      <c r="C800" s="2"/>
      <c r="D800" s="3"/>
      <c r="E800" s="3"/>
      <c r="F800" s="3"/>
      <c r="G800" s="3"/>
      <c r="H800" s="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>
      <c r="A801" s="2"/>
      <c r="B801" s="2"/>
      <c r="C801" s="2"/>
      <c r="D801" s="3"/>
      <c r="E801" s="3"/>
      <c r="F801" s="3"/>
      <c r="G801" s="3"/>
      <c r="H801" s="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>
      <c r="A802" s="2"/>
      <c r="B802" s="2"/>
      <c r="C802" s="2"/>
      <c r="D802" s="3"/>
      <c r="E802" s="3"/>
      <c r="F802" s="3"/>
      <c r="G802" s="3"/>
      <c r="H802" s="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>
      <c r="A803" s="2"/>
      <c r="B803" s="2"/>
      <c r="C803" s="2"/>
      <c r="D803" s="3"/>
      <c r="E803" s="3"/>
      <c r="F803" s="3"/>
      <c r="G803" s="3"/>
      <c r="H803" s="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>
      <c r="A804" s="2"/>
      <c r="B804" s="2"/>
      <c r="C804" s="2"/>
      <c r="D804" s="3"/>
      <c r="E804" s="3"/>
      <c r="F804" s="3"/>
      <c r="G804" s="3"/>
      <c r="H804" s="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>
      <c r="A805" s="2"/>
      <c r="B805" s="2"/>
      <c r="C805" s="2"/>
      <c r="D805" s="3"/>
      <c r="E805" s="3"/>
      <c r="F805" s="3"/>
      <c r="G805" s="3"/>
      <c r="H805" s="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>
      <c r="A806" s="2"/>
      <c r="B806" s="2"/>
      <c r="C806" s="2"/>
      <c r="D806" s="3"/>
      <c r="E806" s="3"/>
      <c r="F806" s="3"/>
      <c r="G806" s="3"/>
      <c r="H806" s="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>
      <c r="A807" s="2"/>
      <c r="B807" s="2"/>
      <c r="C807" s="2"/>
      <c r="D807" s="3"/>
      <c r="E807" s="3"/>
      <c r="F807" s="3"/>
      <c r="G807" s="3"/>
      <c r="H807" s="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>
      <c r="A808" s="2"/>
      <c r="B808" s="2"/>
      <c r="C808" s="2"/>
      <c r="D808" s="3"/>
      <c r="E808" s="3"/>
      <c r="F808" s="3"/>
      <c r="G808" s="3"/>
      <c r="H808" s="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>
      <c r="A809" s="2"/>
      <c r="B809" s="2"/>
      <c r="C809" s="2"/>
      <c r="D809" s="3"/>
      <c r="E809" s="3"/>
      <c r="F809" s="3"/>
      <c r="G809" s="3"/>
      <c r="H809" s="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>
      <c r="A810" s="2"/>
      <c r="B810" s="2"/>
      <c r="C810" s="2"/>
      <c r="D810" s="3"/>
      <c r="E810" s="3"/>
      <c r="F810" s="3"/>
      <c r="G810" s="3"/>
      <c r="H810" s="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>
      <c r="A811" s="2"/>
      <c r="B811" s="2"/>
      <c r="C811" s="2"/>
      <c r="D811" s="3"/>
      <c r="E811" s="3"/>
      <c r="F811" s="3"/>
      <c r="G811" s="3"/>
      <c r="H811" s="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>
      <c r="A812" s="2"/>
      <c r="B812" s="2"/>
      <c r="C812" s="2"/>
      <c r="D812" s="3"/>
      <c r="E812" s="3"/>
      <c r="F812" s="3"/>
      <c r="G812" s="3"/>
      <c r="H812" s="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>
      <c r="A813" s="2"/>
      <c r="B813" s="2"/>
      <c r="C813" s="2"/>
      <c r="D813" s="3"/>
      <c r="E813" s="3"/>
      <c r="F813" s="3"/>
      <c r="G813" s="3"/>
      <c r="H813" s="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>
      <c r="A814" s="2"/>
      <c r="B814" s="2"/>
      <c r="C814" s="2"/>
      <c r="D814" s="3"/>
      <c r="E814" s="3"/>
      <c r="F814" s="3"/>
      <c r="G814" s="3"/>
      <c r="H814" s="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>
      <c r="A815" s="2"/>
      <c r="B815" s="2"/>
      <c r="C815" s="2"/>
      <c r="D815" s="3"/>
      <c r="E815" s="3"/>
      <c r="F815" s="3"/>
      <c r="G815" s="3"/>
      <c r="H815" s="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>
      <c r="A816" s="2"/>
      <c r="B816" s="2"/>
      <c r="C816" s="2"/>
      <c r="D816" s="3"/>
      <c r="E816" s="3"/>
      <c r="F816" s="3"/>
      <c r="G816" s="3"/>
      <c r="H816" s="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>
      <c r="A817" s="2"/>
      <c r="B817" s="2"/>
      <c r="C817" s="2"/>
      <c r="D817" s="3"/>
      <c r="E817" s="3"/>
      <c r="F817" s="3"/>
      <c r="G817" s="3"/>
      <c r="H817" s="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>
      <c r="A818" s="2"/>
      <c r="B818" s="2"/>
      <c r="C818" s="2"/>
      <c r="D818" s="3"/>
      <c r="E818" s="3"/>
      <c r="F818" s="3"/>
      <c r="G818" s="3"/>
      <c r="H818" s="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>
      <c r="A819" s="2"/>
      <c r="B819" s="2"/>
      <c r="C819" s="2"/>
      <c r="D819" s="3"/>
      <c r="E819" s="3"/>
      <c r="F819" s="3"/>
      <c r="G819" s="3"/>
      <c r="H819" s="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>
      <c r="A820" s="2"/>
      <c r="B820" s="2"/>
      <c r="C820" s="2"/>
      <c r="D820" s="3"/>
      <c r="E820" s="3"/>
      <c r="F820" s="3"/>
      <c r="G820" s="3"/>
      <c r="H820" s="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>
      <c r="A821" s="2"/>
      <c r="B821" s="2"/>
      <c r="C821" s="2"/>
      <c r="D821" s="3"/>
      <c r="E821" s="3"/>
      <c r="F821" s="3"/>
      <c r="G821" s="3"/>
      <c r="H821" s="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>
      <c r="A822" s="2"/>
      <c r="B822" s="2"/>
      <c r="C822" s="2"/>
      <c r="D822" s="3"/>
      <c r="E822" s="3"/>
      <c r="F822" s="3"/>
      <c r="G822" s="3"/>
      <c r="H822" s="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>
      <c r="A823" s="2"/>
      <c r="B823" s="2"/>
      <c r="C823" s="2"/>
      <c r="D823" s="3"/>
      <c r="E823" s="3"/>
      <c r="F823" s="3"/>
      <c r="G823" s="3"/>
      <c r="H823" s="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>
      <c r="A824" s="2"/>
      <c r="B824" s="2"/>
      <c r="C824" s="2"/>
      <c r="D824" s="3"/>
      <c r="E824" s="3"/>
      <c r="F824" s="3"/>
      <c r="G824" s="3"/>
      <c r="H824" s="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>
      <c r="A825" s="2"/>
      <c r="B825" s="2"/>
      <c r="C825" s="2"/>
      <c r="D825" s="3"/>
      <c r="E825" s="3"/>
      <c r="F825" s="3"/>
      <c r="G825" s="3"/>
      <c r="H825" s="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>
      <c r="A826" s="2"/>
      <c r="B826" s="2"/>
      <c r="C826" s="2"/>
      <c r="D826" s="3"/>
      <c r="E826" s="3"/>
      <c r="F826" s="3"/>
      <c r="G826" s="3"/>
      <c r="H826" s="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>
      <c r="A827" s="2"/>
      <c r="B827" s="2"/>
      <c r="C827" s="2"/>
      <c r="D827" s="3"/>
      <c r="E827" s="3"/>
      <c r="F827" s="3"/>
      <c r="G827" s="3"/>
      <c r="H827" s="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>
      <c r="A828" s="2"/>
      <c r="B828" s="2"/>
      <c r="C828" s="2"/>
      <c r="D828" s="3"/>
      <c r="E828" s="3"/>
      <c r="F828" s="3"/>
      <c r="G828" s="3"/>
      <c r="H828" s="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>
      <c r="A829" s="2"/>
      <c r="B829" s="2"/>
      <c r="C829" s="2"/>
      <c r="D829" s="3"/>
      <c r="E829" s="3"/>
      <c r="F829" s="3"/>
      <c r="G829" s="3"/>
      <c r="H829" s="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>
      <c r="A830" s="2"/>
      <c r="B830" s="2"/>
      <c r="C830" s="2"/>
      <c r="D830" s="3"/>
      <c r="E830" s="3"/>
      <c r="F830" s="3"/>
      <c r="G830" s="3"/>
      <c r="H830" s="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>
      <c r="A831" s="2"/>
      <c r="B831" s="2"/>
      <c r="C831" s="2"/>
      <c r="D831" s="3"/>
      <c r="E831" s="3"/>
      <c r="F831" s="3"/>
      <c r="G831" s="3"/>
      <c r="H831" s="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>
      <c r="A832" s="2"/>
      <c r="B832" s="2"/>
      <c r="C832" s="2"/>
      <c r="D832" s="3"/>
      <c r="E832" s="3"/>
      <c r="F832" s="3"/>
      <c r="G832" s="3"/>
      <c r="H832" s="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>
      <c r="A833" s="2"/>
      <c r="B833" s="2"/>
      <c r="C833" s="2"/>
      <c r="D833" s="3"/>
      <c r="E833" s="3"/>
      <c r="F833" s="3"/>
      <c r="G833" s="3"/>
      <c r="H833" s="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>
      <c r="A834" s="2"/>
      <c r="B834" s="2"/>
      <c r="C834" s="2"/>
      <c r="D834" s="3"/>
      <c r="E834" s="3"/>
      <c r="F834" s="3"/>
      <c r="G834" s="3"/>
      <c r="H834" s="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>
      <c r="A835" s="2"/>
      <c r="B835" s="2"/>
      <c r="C835" s="2"/>
      <c r="D835" s="3"/>
      <c r="E835" s="3"/>
      <c r="F835" s="3"/>
      <c r="G835" s="3"/>
      <c r="H835" s="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>
      <c r="A836" s="2"/>
      <c r="B836" s="2"/>
      <c r="C836" s="2"/>
      <c r="D836" s="3"/>
      <c r="E836" s="3"/>
      <c r="F836" s="3"/>
      <c r="G836" s="3"/>
      <c r="H836" s="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>
      <c r="A837" s="2"/>
      <c r="B837" s="2"/>
      <c r="C837" s="2"/>
      <c r="D837" s="3"/>
      <c r="E837" s="3"/>
      <c r="F837" s="3"/>
      <c r="G837" s="3"/>
      <c r="H837" s="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>
      <c r="A838" s="2"/>
      <c r="B838" s="2"/>
      <c r="C838" s="2"/>
      <c r="D838" s="3"/>
      <c r="E838" s="3"/>
      <c r="F838" s="3"/>
      <c r="G838" s="3"/>
      <c r="H838" s="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>
      <c r="A839" s="2"/>
      <c r="B839" s="2"/>
      <c r="C839" s="2"/>
      <c r="D839" s="3"/>
      <c r="E839" s="3"/>
      <c r="F839" s="3"/>
      <c r="G839" s="3"/>
      <c r="H839" s="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>
      <c r="A840" s="2"/>
      <c r="B840" s="2"/>
      <c r="C840" s="2"/>
      <c r="D840" s="3"/>
      <c r="E840" s="3"/>
      <c r="F840" s="3"/>
      <c r="G840" s="3"/>
      <c r="H840" s="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>
      <c r="A841" s="2"/>
      <c r="B841" s="2"/>
      <c r="C841" s="2"/>
      <c r="D841" s="3"/>
      <c r="E841" s="3"/>
      <c r="F841" s="3"/>
      <c r="G841" s="3"/>
      <c r="H841" s="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>
      <c r="A842" s="2"/>
      <c r="B842" s="2"/>
      <c r="C842" s="2"/>
      <c r="D842" s="3"/>
      <c r="E842" s="3"/>
      <c r="F842" s="3"/>
      <c r="G842" s="3"/>
      <c r="H842" s="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>
      <c r="A843" s="2"/>
      <c r="B843" s="2"/>
      <c r="C843" s="2"/>
      <c r="D843" s="3"/>
      <c r="E843" s="3"/>
      <c r="F843" s="3"/>
      <c r="G843" s="3"/>
      <c r="H843" s="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>
      <c r="A844" s="2"/>
      <c r="B844" s="2"/>
      <c r="C844" s="2"/>
      <c r="D844" s="3"/>
      <c r="E844" s="3"/>
      <c r="F844" s="3"/>
      <c r="G844" s="3"/>
      <c r="H844" s="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>
      <c r="A845" s="2"/>
      <c r="B845" s="2"/>
      <c r="C845" s="2"/>
      <c r="D845" s="3"/>
      <c r="E845" s="3"/>
      <c r="F845" s="3"/>
      <c r="G845" s="3"/>
      <c r="H845" s="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>
      <c r="A846" s="2"/>
      <c r="B846" s="2"/>
      <c r="C846" s="2"/>
      <c r="D846" s="3"/>
      <c r="E846" s="3"/>
      <c r="F846" s="3"/>
      <c r="G846" s="3"/>
      <c r="H846" s="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>
      <c r="A847" s="2"/>
      <c r="B847" s="2"/>
      <c r="C847" s="2"/>
      <c r="D847" s="3"/>
      <c r="E847" s="3"/>
      <c r="F847" s="3"/>
      <c r="G847" s="3"/>
      <c r="H847" s="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>
      <c r="A848" s="2"/>
      <c r="B848" s="2"/>
      <c r="C848" s="2"/>
      <c r="D848" s="3"/>
      <c r="E848" s="3"/>
      <c r="F848" s="3"/>
      <c r="G848" s="3"/>
      <c r="H848" s="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>
      <c r="A849" s="2"/>
      <c r="B849" s="2"/>
      <c r="C849" s="2"/>
      <c r="D849" s="3"/>
      <c r="E849" s="3"/>
      <c r="F849" s="3"/>
      <c r="G849" s="3"/>
      <c r="H849" s="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>
      <c r="A850" s="2"/>
      <c r="B850" s="2"/>
      <c r="C850" s="2"/>
      <c r="D850" s="3"/>
      <c r="E850" s="3"/>
      <c r="F850" s="3"/>
      <c r="G850" s="3"/>
      <c r="H850" s="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>
      <c r="A851" s="2"/>
      <c r="B851" s="2"/>
      <c r="C851" s="2"/>
      <c r="D851" s="3"/>
      <c r="E851" s="3"/>
      <c r="F851" s="3"/>
      <c r="G851" s="3"/>
      <c r="H851" s="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>
      <c r="A852" s="2"/>
      <c r="B852" s="2"/>
      <c r="C852" s="2"/>
      <c r="D852" s="3"/>
      <c r="E852" s="3"/>
      <c r="F852" s="3"/>
      <c r="G852" s="3"/>
      <c r="H852" s="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>
      <c r="A853" s="2"/>
      <c r="B853" s="2"/>
      <c r="C853" s="2"/>
      <c r="D853" s="3"/>
      <c r="E853" s="3"/>
      <c r="F853" s="3"/>
      <c r="G853" s="3"/>
      <c r="H853" s="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>
      <c r="A854" s="2"/>
      <c r="B854" s="2"/>
      <c r="C854" s="2"/>
      <c r="D854" s="3"/>
      <c r="E854" s="3"/>
      <c r="F854" s="3"/>
      <c r="G854" s="3"/>
      <c r="H854" s="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>
      <c r="A855" s="2"/>
      <c r="B855" s="2"/>
      <c r="C855" s="2"/>
      <c r="D855" s="3"/>
      <c r="E855" s="3"/>
      <c r="F855" s="3"/>
      <c r="G855" s="3"/>
      <c r="H855" s="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>
      <c r="A856" s="2"/>
      <c r="B856" s="2"/>
      <c r="C856" s="2"/>
      <c r="D856" s="3"/>
      <c r="E856" s="3"/>
      <c r="F856" s="3"/>
      <c r="G856" s="3"/>
      <c r="H856" s="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>
      <c r="A857" s="2"/>
      <c r="B857" s="2"/>
      <c r="C857" s="2"/>
      <c r="D857" s="3"/>
      <c r="E857" s="3"/>
      <c r="F857" s="3"/>
      <c r="G857" s="3"/>
      <c r="H857" s="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>
      <c r="A858" s="2"/>
      <c r="B858" s="2"/>
      <c r="C858" s="2"/>
      <c r="D858" s="3"/>
      <c r="E858" s="3"/>
      <c r="F858" s="3"/>
      <c r="G858" s="3"/>
      <c r="H858" s="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>
      <c r="A859" s="2"/>
      <c r="B859" s="2"/>
      <c r="C859" s="2"/>
      <c r="D859" s="3"/>
      <c r="E859" s="3"/>
      <c r="F859" s="3"/>
      <c r="G859" s="3"/>
      <c r="H859" s="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>
      <c r="A860" s="2"/>
      <c r="B860" s="2"/>
      <c r="C860" s="2"/>
      <c r="D860" s="3"/>
      <c r="E860" s="3"/>
      <c r="F860" s="3"/>
      <c r="G860" s="3"/>
      <c r="H860" s="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>
      <c r="A861" s="2"/>
      <c r="B861" s="2"/>
      <c r="C861" s="2"/>
      <c r="D861" s="3"/>
      <c r="E861" s="3"/>
      <c r="F861" s="3"/>
      <c r="G861" s="3"/>
      <c r="H861" s="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>
      <c r="A862" s="2"/>
      <c r="B862" s="2"/>
      <c r="C862" s="2"/>
      <c r="D862" s="3"/>
      <c r="E862" s="3"/>
      <c r="F862" s="3"/>
      <c r="G862" s="3"/>
      <c r="H862" s="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>
      <c r="A863" s="2"/>
      <c r="B863" s="2"/>
      <c r="C863" s="2"/>
      <c r="D863" s="3"/>
      <c r="E863" s="3"/>
      <c r="F863" s="3"/>
      <c r="G863" s="3"/>
      <c r="H863" s="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>
      <c r="A864" s="2"/>
      <c r="B864" s="2"/>
      <c r="C864" s="2"/>
      <c r="D864" s="3"/>
      <c r="E864" s="3"/>
      <c r="F864" s="3"/>
      <c r="G864" s="3"/>
      <c r="H864" s="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>
      <c r="A865" s="2"/>
      <c r="B865" s="2"/>
      <c r="C865" s="2"/>
      <c r="D865" s="3"/>
      <c r="E865" s="3"/>
      <c r="F865" s="3"/>
      <c r="G865" s="3"/>
      <c r="H865" s="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>
      <c r="A866" s="2"/>
      <c r="B866" s="2"/>
      <c r="C866" s="2"/>
      <c r="D866" s="3"/>
      <c r="E866" s="3"/>
      <c r="F866" s="3"/>
      <c r="G866" s="3"/>
      <c r="H866" s="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>
      <c r="A867" s="2"/>
      <c r="B867" s="2"/>
      <c r="C867" s="2"/>
      <c r="D867" s="3"/>
      <c r="E867" s="3"/>
      <c r="F867" s="3"/>
      <c r="G867" s="3"/>
      <c r="H867" s="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>
      <c r="A868" s="2"/>
      <c r="B868" s="2"/>
      <c r="C868" s="2"/>
      <c r="D868" s="3"/>
      <c r="E868" s="3"/>
      <c r="F868" s="3"/>
      <c r="G868" s="3"/>
      <c r="H868" s="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>
      <c r="A869" s="2"/>
      <c r="B869" s="2"/>
      <c r="C869" s="2"/>
      <c r="D869" s="3"/>
      <c r="E869" s="3"/>
      <c r="F869" s="3"/>
      <c r="G869" s="3"/>
      <c r="H869" s="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>
      <c r="A870" s="2"/>
      <c r="B870" s="2"/>
      <c r="C870" s="2"/>
      <c r="D870" s="3"/>
      <c r="E870" s="3"/>
      <c r="F870" s="3"/>
      <c r="G870" s="3"/>
      <c r="H870" s="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>
      <c r="A871" s="2"/>
      <c r="B871" s="2"/>
      <c r="C871" s="2"/>
      <c r="D871" s="3"/>
      <c r="E871" s="3"/>
      <c r="F871" s="3"/>
      <c r="G871" s="3"/>
      <c r="H871" s="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>
      <c r="A872" s="2"/>
      <c r="B872" s="2"/>
      <c r="C872" s="2"/>
      <c r="D872" s="3"/>
      <c r="E872" s="3"/>
      <c r="F872" s="3"/>
      <c r="G872" s="3"/>
      <c r="H872" s="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>
      <c r="A873" s="2"/>
      <c r="B873" s="2"/>
      <c r="C873" s="2"/>
      <c r="D873" s="3"/>
      <c r="E873" s="3"/>
      <c r="F873" s="3"/>
      <c r="G873" s="3"/>
      <c r="H873" s="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>
      <c r="A874" s="2"/>
      <c r="B874" s="2"/>
      <c r="C874" s="2"/>
      <c r="D874" s="3"/>
      <c r="E874" s="3"/>
      <c r="F874" s="3"/>
      <c r="G874" s="3"/>
      <c r="H874" s="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>
      <c r="A875" s="2"/>
      <c r="B875" s="2"/>
      <c r="C875" s="2"/>
      <c r="D875" s="3"/>
      <c r="E875" s="3"/>
      <c r="F875" s="3"/>
      <c r="G875" s="3"/>
      <c r="H875" s="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>
      <c r="A876" s="2"/>
      <c r="B876" s="2"/>
      <c r="C876" s="2"/>
      <c r="D876" s="3"/>
      <c r="E876" s="3"/>
      <c r="F876" s="3"/>
      <c r="G876" s="3"/>
      <c r="H876" s="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>
      <c r="A877" s="2"/>
      <c r="B877" s="2"/>
      <c r="C877" s="2"/>
      <c r="D877" s="3"/>
      <c r="E877" s="3"/>
      <c r="F877" s="3"/>
      <c r="G877" s="3"/>
      <c r="H877" s="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>
      <c r="A878" s="2"/>
      <c r="B878" s="2"/>
      <c r="C878" s="2"/>
      <c r="D878" s="3"/>
      <c r="E878" s="3"/>
      <c r="F878" s="3"/>
      <c r="G878" s="3"/>
      <c r="H878" s="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>
      <c r="A879" s="2"/>
      <c r="B879" s="2"/>
      <c r="C879" s="2"/>
      <c r="D879" s="3"/>
      <c r="E879" s="3"/>
      <c r="F879" s="3"/>
      <c r="G879" s="3"/>
      <c r="H879" s="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>
      <c r="A880" s="2"/>
      <c r="B880" s="2"/>
      <c r="C880" s="2"/>
      <c r="D880" s="3"/>
      <c r="E880" s="3"/>
      <c r="F880" s="3"/>
      <c r="G880" s="3"/>
      <c r="H880" s="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>
      <c r="A881" s="2"/>
      <c r="B881" s="2"/>
      <c r="C881" s="2"/>
      <c r="D881" s="3"/>
      <c r="E881" s="3"/>
      <c r="F881" s="3"/>
      <c r="G881" s="3"/>
      <c r="H881" s="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>
      <c r="A882" s="2"/>
      <c r="B882" s="2"/>
      <c r="C882" s="2"/>
      <c r="D882" s="3"/>
      <c r="E882" s="3"/>
      <c r="F882" s="3"/>
      <c r="G882" s="3"/>
      <c r="H882" s="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>
      <c r="A883" s="2"/>
      <c r="B883" s="2"/>
      <c r="C883" s="2"/>
      <c r="D883" s="3"/>
      <c r="E883" s="3"/>
      <c r="F883" s="3"/>
      <c r="G883" s="3"/>
      <c r="H883" s="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>
      <c r="A884" s="2"/>
      <c r="B884" s="2"/>
      <c r="C884" s="2"/>
      <c r="D884" s="3"/>
      <c r="E884" s="3"/>
      <c r="F884" s="3"/>
      <c r="G884" s="3"/>
      <c r="H884" s="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>
      <c r="A885" s="2"/>
      <c r="B885" s="2"/>
      <c r="C885" s="2"/>
      <c r="D885" s="3"/>
      <c r="E885" s="3"/>
      <c r="F885" s="3"/>
      <c r="G885" s="3"/>
      <c r="H885" s="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>
      <c r="A886" s="2"/>
      <c r="B886" s="2"/>
      <c r="C886" s="2"/>
      <c r="D886" s="3"/>
      <c r="E886" s="3"/>
      <c r="F886" s="3"/>
      <c r="G886" s="3"/>
      <c r="H886" s="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>
      <c r="A887" s="2"/>
      <c r="B887" s="2"/>
      <c r="C887" s="2"/>
      <c r="D887" s="3"/>
      <c r="E887" s="3"/>
      <c r="F887" s="3"/>
      <c r="G887" s="3"/>
      <c r="H887" s="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>
      <c r="A888" s="2"/>
      <c r="B888" s="2"/>
      <c r="C888" s="2"/>
      <c r="D888" s="3"/>
      <c r="E888" s="3"/>
      <c r="F888" s="3"/>
      <c r="G888" s="3"/>
      <c r="H888" s="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>
      <c r="A889" s="2"/>
      <c r="B889" s="2"/>
      <c r="C889" s="2"/>
      <c r="D889" s="3"/>
      <c r="E889" s="3"/>
      <c r="F889" s="3"/>
      <c r="G889" s="3"/>
      <c r="H889" s="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>
      <c r="A890" s="2"/>
      <c r="B890" s="2"/>
      <c r="C890" s="2"/>
      <c r="D890" s="3"/>
      <c r="E890" s="3"/>
      <c r="F890" s="3"/>
      <c r="G890" s="3"/>
      <c r="H890" s="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>
      <c r="A891" s="2"/>
      <c r="B891" s="2"/>
      <c r="C891" s="2"/>
      <c r="D891" s="3"/>
      <c r="E891" s="3"/>
      <c r="F891" s="3"/>
      <c r="G891" s="3"/>
      <c r="H891" s="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>
      <c r="A892" s="2"/>
      <c r="B892" s="2"/>
      <c r="C892" s="2"/>
      <c r="D892" s="3"/>
      <c r="E892" s="3"/>
      <c r="F892" s="3"/>
      <c r="G892" s="3"/>
      <c r="H892" s="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>
      <c r="A893" s="2"/>
      <c r="B893" s="2"/>
      <c r="C893" s="2"/>
      <c r="D893" s="3"/>
      <c r="E893" s="3"/>
      <c r="F893" s="3"/>
      <c r="G893" s="3"/>
      <c r="H893" s="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>
      <c r="A894" s="2"/>
      <c r="B894" s="2"/>
      <c r="C894" s="2"/>
      <c r="D894" s="3"/>
      <c r="E894" s="3"/>
      <c r="F894" s="3"/>
      <c r="G894" s="3"/>
      <c r="H894" s="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>
      <c r="A895" s="2"/>
      <c r="B895" s="2"/>
      <c r="C895" s="2"/>
      <c r="D895" s="3"/>
      <c r="E895" s="3"/>
      <c r="F895" s="3"/>
      <c r="G895" s="3"/>
      <c r="H895" s="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>
      <c r="A896" s="2"/>
      <c r="B896" s="2"/>
      <c r="C896" s="2"/>
      <c r="D896" s="3"/>
      <c r="E896" s="3"/>
      <c r="F896" s="3"/>
      <c r="G896" s="3"/>
      <c r="H896" s="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>
      <c r="A897" s="2"/>
      <c r="B897" s="2"/>
      <c r="C897" s="2"/>
      <c r="D897" s="3"/>
      <c r="E897" s="3"/>
      <c r="F897" s="3"/>
      <c r="G897" s="3"/>
      <c r="H897" s="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>
      <c r="A898" s="2"/>
      <c r="B898" s="2"/>
      <c r="C898" s="2"/>
      <c r="D898" s="3"/>
      <c r="E898" s="3"/>
      <c r="F898" s="3"/>
      <c r="G898" s="3"/>
      <c r="H898" s="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>
      <c r="A899" s="2"/>
      <c r="B899" s="2"/>
      <c r="C899" s="2"/>
      <c r="D899" s="3"/>
      <c r="E899" s="3"/>
      <c r="F899" s="3"/>
      <c r="G899" s="3"/>
      <c r="H899" s="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>
      <c r="A900" s="2"/>
      <c r="B900" s="2"/>
      <c r="C900" s="2"/>
      <c r="D900" s="3"/>
      <c r="E900" s="3"/>
      <c r="F900" s="3"/>
      <c r="G900" s="3"/>
      <c r="H900" s="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>
      <c r="A901" s="2"/>
      <c r="B901" s="2"/>
      <c r="C901" s="2"/>
      <c r="D901" s="3"/>
      <c r="E901" s="3"/>
      <c r="F901" s="3"/>
      <c r="G901" s="3"/>
      <c r="H901" s="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>
      <c r="A902" s="2"/>
      <c r="B902" s="2"/>
      <c r="C902" s="2"/>
      <c r="D902" s="3"/>
      <c r="E902" s="3"/>
      <c r="F902" s="3"/>
      <c r="G902" s="3"/>
      <c r="H902" s="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>
      <c r="A903" s="2"/>
      <c r="B903" s="2"/>
      <c r="C903" s="2"/>
      <c r="D903" s="3"/>
      <c r="E903" s="3"/>
      <c r="F903" s="3"/>
      <c r="G903" s="3"/>
      <c r="H903" s="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>
      <c r="A904" s="2"/>
      <c r="B904" s="2"/>
      <c r="C904" s="2"/>
      <c r="D904" s="3"/>
      <c r="E904" s="3"/>
      <c r="F904" s="3"/>
      <c r="G904" s="3"/>
      <c r="H904" s="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>
      <c r="A905" s="2"/>
      <c r="B905" s="2"/>
      <c r="C905" s="2"/>
      <c r="D905" s="3"/>
      <c r="E905" s="3"/>
      <c r="F905" s="3"/>
      <c r="G905" s="3"/>
      <c r="H905" s="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>
      <c r="A906" s="2"/>
      <c r="B906" s="2"/>
      <c r="C906" s="2"/>
      <c r="D906" s="3"/>
      <c r="E906" s="3"/>
      <c r="F906" s="3"/>
      <c r="G906" s="3"/>
      <c r="H906" s="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>
      <c r="A907" s="2"/>
      <c r="B907" s="2"/>
      <c r="C907" s="2"/>
      <c r="D907" s="3"/>
      <c r="E907" s="3"/>
      <c r="F907" s="3"/>
      <c r="G907" s="3"/>
      <c r="H907" s="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>
      <c r="A908" s="2"/>
      <c r="B908" s="2"/>
      <c r="C908" s="2"/>
      <c r="D908" s="3"/>
      <c r="E908" s="3"/>
      <c r="F908" s="3"/>
      <c r="G908" s="3"/>
      <c r="H908" s="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>
      <c r="A909" s="2"/>
      <c r="B909" s="2"/>
      <c r="C909" s="2"/>
      <c r="D909" s="3"/>
      <c r="E909" s="3"/>
      <c r="F909" s="3"/>
      <c r="G909" s="3"/>
      <c r="H909" s="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>
      <c r="A910" s="2"/>
      <c r="B910" s="2"/>
      <c r="C910" s="2"/>
      <c r="D910" s="3"/>
      <c r="E910" s="3"/>
      <c r="F910" s="3"/>
      <c r="G910" s="3"/>
      <c r="H910" s="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>
      <c r="A911" s="2"/>
      <c r="B911" s="2"/>
      <c r="C911" s="2"/>
      <c r="D911" s="3"/>
      <c r="E911" s="3"/>
      <c r="F911" s="3"/>
      <c r="G911" s="3"/>
      <c r="H911" s="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>
      <c r="A912" s="2"/>
      <c r="B912" s="2"/>
      <c r="C912" s="2"/>
      <c r="D912" s="3"/>
      <c r="E912" s="3"/>
      <c r="F912" s="3"/>
      <c r="G912" s="3"/>
      <c r="H912" s="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>
      <c r="A913" s="2"/>
      <c r="B913" s="2"/>
      <c r="C913" s="2"/>
      <c r="D913" s="3"/>
      <c r="E913" s="3"/>
      <c r="F913" s="3"/>
      <c r="G913" s="3"/>
      <c r="H913" s="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>
      <c r="A914" s="2"/>
      <c r="B914" s="2"/>
      <c r="C914" s="2"/>
      <c r="D914" s="3"/>
      <c r="E914" s="3"/>
      <c r="F914" s="3"/>
      <c r="G914" s="3"/>
      <c r="H914" s="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>
      <c r="A915" s="2"/>
      <c r="B915" s="2"/>
      <c r="C915" s="2"/>
      <c r="D915" s="3"/>
      <c r="E915" s="3"/>
      <c r="F915" s="3"/>
      <c r="G915" s="3"/>
      <c r="H915" s="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>
      <c r="A916" s="2"/>
      <c r="B916" s="2"/>
      <c r="C916" s="2"/>
      <c r="D916" s="3"/>
      <c r="E916" s="3"/>
      <c r="F916" s="3"/>
      <c r="G916" s="3"/>
      <c r="H916" s="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>
      <c r="A917" s="2"/>
      <c r="B917" s="2"/>
      <c r="C917" s="2"/>
      <c r="D917" s="3"/>
      <c r="E917" s="3"/>
      <c r="F917" s="3"/>
      <c r="G917" s="3"/>
      <c r="H917" s="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>
      <c r="A918" s="2"/>
      <c r="B918" s="2"/>
      <c r="C918" s="2"/>
      <c r="D918" s="3"/>
      <c r="E918" s="3"/>
      <c r="F918" s="3"/>
      <c r="G918" s="3"/>
      <c r="H918" s="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>
      <c r="A919" s="2"/>
      <c r="B919" s="2"/>
      <c r="C919" s="2"/>
      <c r="D919" s="3"/>
      <c r="E919" s="3"/>
      <c r="F919" s="3"/>
      <c r="G919" s="3"/>
      <c r="H919" s="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>
      <c r="A920" s="2"/>
      <c r="B920" s="2"/>
      <c r="C920" s="2"/>
      <c r="D920" s="3"/>
      <c r="E920" s="3"/>
      <c r="F920" s="3"/>
      <c r="G920" s="3"/>
      <c r="H920" s="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>
      <c r="A921" s="2"/>
      <c r="B921" s="2"/>
      <c r="C921" s="2"/>
      <c r="D921" s="3"/>
      <c r="E921" s="3"/>
      <c r="F921" s="3"/>
      <c r="G921" s="3"/>
      <c r="H921" s="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>
      <c r="A922" s="2"/>
      <c r="B922" s="2"/>
      <c r="C922" s="2"/>
      <c r="D922" s="3"/>
      <c r="E922" s="3"/>
      <c r="F922" s="3"/>
      <c r="G922" s="3"/>
      <c r="H922" s="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>
      <c r="A923" s="2"/>
      <c r="B923" s="2"/>
      <c r="C923" s="2"/>
      <c r="D923" s="3"/>
      <c r="E923" s="3"/>
      <c r="F923" s="3"/>
      <c r="G923" s="3"/>
      <c r="H923" s="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>
      <c r="A924" s="2"/>
      <c r="B924" s="2"/>
      <c r="C924" s="2"/>
      <c r="D924" s="3"/>
      <c r="E924" s="3"/>
      <c r="F924" s="3"/>
      <c r="G924" s="3"/>
      <c r="H924" s="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>
      <c r="A925" s="2"/>
      <c r="B925" s="2"/>
      <c r="C925" s="2"/>
      <c r="D925" s="3"/>
      <c r="E925" s="3"/>
      <c r="F925" s="3"/>
      <c r="G925" s="3"/>
      <c r="H925" s="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>
      <c r="A926" s="2"/>
      <c r="B926" s="2"/>
      <c r="C926" s="2"/>
      <c r="D926" s="3"/>
      <c r="E926" s="3"/>
      <c r="F926" s="3"/>
      <c r="G926" s="3"/>
      <c r="H926" s="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>
      <c r="A927" s="2"/>
      <c r="B927" s="2"/>
      <c r="C927" s="2"/>
      <c r="D927" s="3"/>
      <c r="E927" s="3"/>
      <c r="F927" s="3"/>
      <c r="G927" s="3"/>
      <c r="H927" s="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>
      <c r="A928" s="2"/>
      <c r="B928" s="2"/>
      <c r="C928" s="2"/>
      <c r="D928" s="3"/>
      <c r="E928" s="3"/>
      <c r="F928" s="3"/>
      <c r="G928" s="3"/>
      <c r="H928" s="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>
      <c r="A929" s="2"/>
      <c r="B929" s="2"/>
      <c r="C929" s="2"/>
      <c r="D929" s="3"/>
      <c r="E929" s="3"/>
      <c r="F929" s="3"/>
      <c r="G929" s="3"/>
      <c r="H929" s="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>
      <c r="A930" s="2"/>
      <c r="B930" s="2"/>
      <c r="C930" s="2"/>
      <c r="D930" s="3"/>
      <c r="E930" s="3"/>
      <c r="F930" s="3"/>
      <c r="G930" s="3"/>
      <c r="H930" s="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>
      <c r="A931" s="2"/>
      <c r="B931" s="2"/>
      <c r="C931" s="2"/>
      <c r="D931" s="3"/>
      <c r="E931" s="3"/>
      <c r="F931" s="3"/>
      <c r="G931" s="3"/>
      <c r="H931" s="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>
      <c r="A932" s="2"/>
      <c r="B932" s="2"/>
      <c r="C932" s="2"/>
      <c r="D932" s="3"/>
      <c r="E932" s="3"/>
      <c r="F932" s="3"/>
      <c r="G932" s="3"/>
      <c r="H932" s="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>
      <c r="A933" s="2"/>
      <c r="B933" s="2"/>
      <c r="C933" s="2"/>
      <c r="D933" s="3"/>
      <c r="E933" s="3"/>
      <c r="F933" s="3"/>
      <c r="G933" s="3"/>
      <c r="H933" s="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>
      <c r="A934" s="2"/>
      <c r="B934" s="2"/>
      <c r="C934" s="2"/>
      <c r="D934" s="3"/>
      <c r="E934" s="3"/>
      <c r="F934" s="3"/>
      <c r="G934" s="3"/>
      <c r="H934" s="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>
      <c r="A935" s="2"/>
      <c r="B935" s="2"/>
      <c r="C935" s="2"/>
      <c r="D935" s="3"/>
      <c r="E935" s="3"/>
      <c r="F935" s="3"/>
      <c r="G935" s="3"/>
      <c r="H935" s="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>
      <c r="A936" s="2"/>
      <c r="B936" s="2"/>
      <c r="C936" s="2"/>
      <c r="D936" s="3"/>
      <c r="E936" s="3"/>
      <c r="F936" s="3"/>
      <c r="G936" s="3"/>
      <c r="H936" s="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>
      <c r="A937" s="2"/>
      <c r="B937" s="2"/>
      <c r="C937" s="2"/>
      <c r="D937" s="3"/>
      <c r="E937" s="3"/>
      <c r="F937" s="3"/>
      <c r="G937" s="3"/>
      <c r="H937" s="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>
      <c r="A938" s="2"/>
      <c r="B938" s="2"/>
      <c r="C938" s="2"/>
      <c r="D938" s="3"/>
      <c r="E938" s="3"/>
      <c r="F938" s="3"/>
      <c r="G938" s="3"/>
      <c r="H938" s="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>
      <c r="A939" s="2"/>
      <c r="B939" s="2"/>
      <c r="C939" s="2"/>
      <c r="D939" s="3"/>
      <c r="E939" s="3"/>
      <c r="F939" s="3"/>
      <c r="G939" s="3"/>
      <c r="H939" s="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>
      <c r="A940" s="2"/>
      <c r="B940" s="2"/>
      <c r="C940" s="2"/>
      <c r="D940" s="3"/>
      <c r="E940" s="3"/>
      <c r="F940" s="3"/>
      <c r="G940" s="3"/>
      <c r="H940" s="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>
      <c r="A941" s="2"/>
      <c r="B941" s="2"/>
      <c r="C941" s="2"/>
      <c r="D941" s="3"/>
      <c r="E941" s="3"/>
      <c r="F941" s="3"/>
      <c r="G941" s="3"/>
      <c r="H941" s="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>
      <c r="A942" s="2"/>
      <c r="B942" s="2"/>
      <c r="C942" s="2"/>
      <c r="D942" s="3"/>
      <c r="E942" s="3"/>
      <c r="F942" s="3"/>
      <c r="G942" s="3"/>
      <c r="H942" s="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>
      <c r="A943" s="2"/>
      <c r="B943" s="2"/>
      <c r="C943" s="2"/>
      <c r="D943" s="3"/>
      <c r="E943" s="3"/>
      <c r="F943" s="3"/>
      <c r="G943" s="3"/>
      <c r="H943" s="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>
      <c r="A944" s="2"/>
      <c r="B944" s="2"/>
      <c r="C944" s="2"/>
      <c r="D944" s="3"/>
      <c r="E944" s="3"/>
      <c r="F944" s="3"/>
      <c r="G944" s="3"/>
      <c r="H944" s="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>
      <c r="A945" s="2"/>
      <c r="B945" s="2"/>
      <c r="C945" s="2"/>
      <c r="D945" s="3"/>
      <c r="E945" s="3"/>
      <c r="F945" s="3"/>
      <c r="G945" s="3"/>
      <c r="H945" s="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>
      <c r="A946" s="2"/>
      <c r="B946" s="2"/>
      <c r="C946" s="2"/>
      <c r="D946" s="3"/>
      <c r="E946" s="3"/>
      <c r="F946" s="3"/>
      <c r="G946" s="3"/>
      <c r="H946" s="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>
      <c r="A947" s="2"/>
      <c r="B947" s="2"/>
      <c r="C947" s="2"/>
      <c r="D947" s="3"/>
      <c r="E947" s="3"/>
      <c r="F947" s="3"/>
      <c r="G947" s="3"/>
      <c r="H947" s="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>
      <c r="A948" s="2"/>
      <c r="B948" s="2"/>
      <c r="C948" s="2"/>
      <c r="D948" s="3"/>
      <c r="E948" s="3"/>
      <c r="F948" s="3"/>
      <c r="G948" s="3"/>
      <c r="H948" s="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>
      <c r="A949" s="2"/>
      <c r="B949" s="2"/>
      <c r="C949" s="2"/>
      <c r="D949" s="3"/>
      <c r="E949" s="3"/>
      <c r="F949" s="3"/>
      <c r="G949" s="3"/>
      <c r="H949" s="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>
      <c r="A950" s="2"/>
      <c r="B950" s="2"/>
      <c r="C950" s="2"/>
      <c r="D950" s="3"/>
      <c r="E950" s="3"/>
      <c r="F950" s="3"/>
      <c r="G950" s="3"/>
      <c r="H950" s="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>
      <c r="A951" s="2"/>
      <c r="B951" s="2"/>
      <c r="C951" s="2"/>
      <c r="D951" s="3"/>
      <c r="E951" s="3"/>
      <c r="F951" s="3"/>
      <c r="G951" s="3"/>
      <c r="H951" s="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>
      <c r="A952" s="2"/>
      <c r="B952" s="2"/>
      <c r="C952" s="2"/>
      <c r="D952" s="3"/>
      <c r="E952" s="3"/>
      <c r="F952" s="3"/>
      <c r="G952" s="3"/>
      <c r="H952" s="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>
      <c r="A953" s="2"/>
      <c r="B953" s="2"/>
      <c r="C953" s="2"/>
      <c r="D953" s="3"/>
      <c r="E953" s="3"/>
      <c r="F953" s="3"/>
      <c r="G953" s="3"/>
      <c r="H953" s="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>
      <c r="A954" s="2"/>
      <c r="B954" s="2"/>
      <c r="C954" s="2"/>
      <c r="D954" s="3"/>
      <c r="E954" s="3"/>
      <c r="F954" s="3"/>
      <c r="G954" s="3"/>
      <c r="H954" s="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>
      <c r="A955" s="2"/>
      <c r="B955" s="2"/>
      <c r="C955" s="2"/>
      <c r="D955" s="3"/>
      <c r="E955" s="3"/>
      <c r="F955" s="3"/>
      <c r="G955" s="3"/>
      <c r="H955" s="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>
      <c r="A956" s="2"/>
      <c r="B956" s="2"/>
      <c r="C956" s="2"/>
      <c r="D956" s="3"/>
      <c r="E956" s="3"/>
      <c r="F956" s="3"/>
      <c r="G956" s="3"/>
      <c r="H956" s="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>
      <c r="A957" s="2"/>
      <c r="B957" s="2"/>
      <c r="C957" s="2"/>
      <c r="D957" s="3"/>
      <c r="E957" s="3"/>
      <c r="F957" s="3"/>
      <c r="G957" s="3"/>
      <c r="H957" s="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>
      <c r="A958" s="2"/>
      <c r="B958" s="2"/>
      <c r="C958" s="2"/>
      <c r="D958" s="3"/>
      <c r="E958" s="3"/>
      <c r="F958" s="3"/>
      <c r="G958" s="3"/>
      <c r="H958" s="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>
      <c r="A959" s="2"/>
      <c r="B959" s="2"/>
      <c r="C959" s="2"/>
      <c r="D959" s="3"/>
      <c r="E959" s="3"/>
      <c r="F959" s="3"/>
      <c r="G959" s="3"/>
      <c r="H959" s="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>
      <c r="A960" s="2"/>
      <c r="B960" s="2"/>
      <c r="C960" s="2"/>
      <c r="D960" s="3"/>
      <c r="E960" s="3"/>
      <c r="F960" s="3"/>
      <c r="G960" s="3"/>
      <c r="H960" s="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>
      <c r="A961" s="2"/>
      <c r="B961" s="2"/>
      <c r="C961" s="2"/>
      <c r="D961" s="3"/>
      <c r="E961" s="3"/>
      <c r="F961" s="3"/>
      <c r="G961" s="3"/>
      <c r="H961" s="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>
      <c r="A962" s="2"/>
      <c r="B962" s="2"/>
      <c r="C962" s="2"/>
      <c r="D962" s="3"/>
      <c r="E962" s="3"/>
      <c r="F962" s="3"/>
      <c r="G962" s="3"/>
      <c r="H962" s="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>
      <c r="A963" s="2"/>
      <c r="B963" s="2"/>
      <c r="C963" s="2"/>
      <c r="D963" s="3"/>
      <c r="E963" s="3"/>
      <c r="F963" s="3"/>
      <c r="G963" s="3"/>
      <c r="H963" s="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>
      <c r="A964" s="2"/>
      <c r="B964" s="2"/>
      <c r="C964" s="2"/>
      <c r="D964" s="3"/>
      <c r="E964" s="3"/>
      <c r="F964" s="3"/>
      <c r="G964" s="3"/>
      <c r="H964" s="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>
      <c r="A965" s="2"/>
      <c r="B965" s="2"/>
      <c r="C965" s="2"/>
      <c r="D965" s="3"/>
      <c r="E965" s="3"/>
      <c r="F965" s="3"/>
      <c r="G965" s="3"/>
      <c r="H965" s="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>
      <c r="A966" s="2"/>
      <c r="B966" s="2"/>
      <c r="C966" s="2"/>
      <c r="D966" s="3"/>
      <c r="E966" s="3"/>
      <c r="F966" s="3"/>
      <c r="G966" s="3"/>
      <c r="H966" s="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>
      <c r="A967" s="2"/>
      <c r="B967" s="2"/>
      <c r="C967" s="2"/>
      <c r="D967" s="3"/>
      <c r="E967" s="3"/>
      <c r="F967" s="3"/>
      <c r="G967" s="3"/>
      <c r="H967" s="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>
      <c r="A968" s="2"/>
      <c r="B968" s="2"/>
      <c r="C968" s="2"/>
      <c r="D968" s="3"/>
      <c r="E968" s="3"/>
      <c r="F968" s="3"/>
      <c r="G968" s="3"/>
      <c r="H968" s="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>
      <c r="A969" s="2"/>
      <c r="B969" s="2"/>
      <c r="C969" s="2"/>
      <c r="D969" s="3"/>
      <c r="E969" s="3"/>
      <c r="F969" s="3"/>
      <c r="G969" s="3"/>
      <c r="H969" s="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>
      <c r="A970" s="2"/>
      <c r="B970" s="2"/>
      <c r="C970" s="2"/>
      <c r="D970" s="3"/>
      <c r="E970" s="3"/>
      <c r="F970" s="3"/>
      <c r="G970" s="3"/>
      <c r="H970" s="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>
      <c r="A971" s="2"/>
      <c r="B971" s="2"/>
      <c r="C971" s="2"/>
      <c r="D971" s="3"/>
      <c r="E971" s="3"/>
      <c r="F971" s="3"/>
      <c r="G971" s="3"/>
      <c r="H971" s="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>
      <c r="A972" s="2"/>
      <c r="B972" s="2"/>
      <c r="C972" s="2"/>
      <c r="D972" s="3"/>
      <c r="E972" s="3"/>
      <c r="F972" s="3"/>
      <c r="G972" s="3"/>
      <c r="H972" s="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>
      <c r="A973" s="2"/>
      <c r="B973" s="2"/>
      <c r="C973" s="2"/>
      <c r="D973" s="3"/>
      <c r="E973" s="3"/>
      <c r="F973" s="3"/>
      <c r="G973" s="3"/>
      <c r="H973" s="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>
      <c r="A974" s="2"/>
      <c r="B974" s="2"/>
      <c r="C974" s="2"/>
      <c r="D974" s="3"/>
      <c r="E974" s="3"/>
      <c r="F974" s="3"/>
      <c r="G974" s="3"/>
      <c r="H974" s="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>
      <c r="A975" s="2"/>
      <c r="B975" s="2"/>
      <c r="C975" s="2"/>
      <c r="D975" s="3"/>
      <c r="E975" s="3"/>
      <c r="F975" s="3"/>
      <c r="G975" s="3"/>
      <c r="H975" s="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>
      <c r="A976" s="2"/>
      <c r="B976" s="2"/>
      <c r="C976" s="2"/>
      <c r="D976" s="3"/>
      <c r="E976" s="3"/>
      <c r="F976" s="3"/>
      <c r="G976" s="3"/>
      <c r="H976" s="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>
      <c r="A977" s="2"/>
      <c r="B977" s="2"/>
      <c r="C977" s="2"/>
      <c r="D977" s="3"/>
      <c r="E977" s="3"/>
      <c r="F977" s="3"/>
      <c r="G977" s="3"/>
      <c r="H977" s="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>
      <c r="A978" s="2"/>
      <c r="B978" s="2"/>
      <c r="C978" s="2"/>
      <c r="D978" s="3"/>
      <c r="E978" s="3"/>
      <c r="F978" s="3"/>
      <c r="G978" s="3"/>
      <c r="H978" s="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>
      <c r="A979" s="2"/>
      <c r="B979" s="2"/>
      <c r="C979" s="2"/>
      <c r="D979" s="3"/>
      <c r="E979" s="3"/>
      <c r="F979" s="3"/>
      <c r="G979" s="3"/>
      <c r="H979" s="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>
      <c r="A980" s="2"/>
      <c r="B980" s="2"/>
      <c r="C980" s="2"/>
      <c r="D980" s="3"/>
      <c r="E980" s="3"/>
      <c r="F980" s="3"/>
      <c r="G980" s="3"/>
      <c r="H980" s="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>
      <c r="A981" s="2"/>
      <c r="B981" s="2"/>
      <c r="C981" s="2"/>
      <c r="D981" s="3"/>
      <c r="E981" s="3"/>
      <c r="F981" s="3"/>
      <c r="G981" s="3"/>
      <c r="H981" s="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>
      <c r="A982" s="2"/>
      <c r="B982" s="2"/>
      <c r="C982" s="2"/>
      <c r="D982" s="3"/>
      <c r="E982" s="3"/>
      <c r="F982" s="3"/>
      <c r="G982" s="3"/>
      <c r="H982" s="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>
      <c r="A983" s="2"/>
      <c r="B983" s="2"/>
      <c r="C983" s="2"/>
      <c r="D983" s="3"/>
      <c r="E983" s="3"/>
      <c r="F983" s="3"/>
      <c r="G983" s="3"/>
      <c r="H983" s="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>
      <c r="A984" s="2"/>
      <c r="B984" s="2"/>
      <c r="C984" s="2"/>
      <c r="D984" s="3"/>
      <c r="E984" s="3"/>
      <c r="F984" s="3"/>
      <c r="G984" s="3"/>
      <c r="H984" s="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>
      <c r="A985" s="2"/>
      <c r="B985" s="2"/>
      <c r="C985" s="2"/>
      <c r="D985" s="3"/>
      <c r="E985" s="3"/>
      <c r="F985" s="3"/>
      <c r="G985" s="3"/>
      <c r="H985" s="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>
      <c r="A986" s="2"/>
      <c r="B986" s="2"/>
      <c r="C986" s="2"/>
      <c r="D986" s="3"/>
      <c r="E986" s="3"/>
      <c r="F986" s="3"/>
      <c r="G986" s="3"/>
      <c r="H986" s="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>
      <c r="A987" s="2"/>
      <c r="B987" s="2"/>
      <c r="C987" s="2"/>
      <c r="D987" s="3"/>
      <c r="E987" s="3"/>
      <c r="F987" s="3"/>
      <c r="G987" s="3"/>
      <c r="H987" s="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>
      <c r="A988" s="2"/>
      <c r="B988" s="2"/>
      <c r="C988" s="2"/>
      <c r="D988" s="3"/>
      <c r="E988" s="3"/>
      <c r="F988" s="3"/>
      <c r="G988" s="3"/>
      <c r="H988" s="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>
      <c r="A989" s="2"/>
      <c r="B989" s="2"/>
      <c r="C989" s="2"/>
      <c r="D989" s="3"/>
      <c r="E989" s="3"/>
      <c r="F989" s="3"/>
      <c r="G989" s="3"/>
      <c r="H989" s="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>
      <c r="A990" s="2"/>
      <c r="B990" s="2"/>
      <c r="C990" s="2"/>
      <c r="D990" s="3"/>
      <c r="E990" s="3"/>
      <c r="F990" s="3"/>
      <c r="G990" s="3"/>
      <c r="H990" s="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>
      <c r="A991" s="2"/>
      <c r="B991" s="2"/>
      <c r="C991" s="2"/>
      <c r="D991" s="3"/>
      <c r="E991" s="3"/>
      <c r="F991" s="3"/>
      <c r="G991" s="3"/>
      <c r="H991" s="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>
      <c r="A992" s="2"/>
      <c r="B992" s="2"/>
      <c r="C992" s="2"/>
      <c r="D992" s="3"/>
      <c r="E992" s="3"/>
      <c r="F992" s="3"/>
      <c r="G992" s="3"/>
      <c r="H992" s="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>
      <c r="A993" s="2"/>
      <c r="B993" s="2"/>
      <c r="C993" s="2"/>
      <c r="D993" s="3"/>
      <c r="E993" s="3"/>
      <c r="F993" s="3"/>
      <c r="G993" s="3"/>
      <c r="H993" s="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>
      <c r="A994" s="2"/>
      <c r="B994" s="2"/>
      <c r="C994" s="2"/>
      <c r="D994" s="3"/>
      <c r="E994" s="3"/>
      <c r="F994" s="3"/>
      <c r="G994" s="3"/>
      <c r="H994" s="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>
      <c r="A995" s="2"/>
      <c r="B995" s="2"/>
      <c r="C995" s="2"/>
      <c r="D995" s="3"/>
      <c r="E995" s="3"/>
      <c r="F995" s="3"/>
      <c r="G995" s="3"/>
      <c r="H995" s="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>
      <c r="A996" s="2"/>
      <c r="B996" s="2"/>
      <c r="C996" s="2"/>
      <c r="D996" s="3"/>
      <c r="E996" s="3"/>
      <c r="F996" s="3"/>
      <c r="G996" s="3"/>
      <c r="H996" s="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>
      <c r="A997" s="2"/>
      <c r="B997" s="2"/>
      <c r="C997" s="2"/>
      <c r="D997" s="3"/>
      <c r="E997" s="3"/>
      <c r="F997" s="3"/>
      <c r="G997" s="3"/>
      <c r="H997" s="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>
      <c r="A998" s="2"/>
      <c r="B998" s="2"/>
      <c r="C998" s="2"/>
      <c r="D998" s="3"/>
      <c r="E998" s="3"/>
      <c r="F998" s="3"/>
      <c r="G998" s="3"/>
      <c r="H998" s="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>
      <c r="A999" s="2"/>
      <c r="B999" s="2"/>
      <c r="C999" s="2"/>
      <c r="D999" s="3"/>
      <c r="E999" s="3"/>
      <c r="F999" s="3"/>
      <c r="G999" s="3"/>
      <c r="H999" s="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>
      <c r="A1000" s="2"/>
      <c r="B1000" s="2"/>
      <c r="C1000" s="2"/>
      <c r="D1000" s="3"/>
      <c r="E1000" s="3"/>
      <c r="F1000" s="3"/>
      <c r="G1000" s="3"/>
      <c r="H1000" s="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>
      <c r="A1001" s="2"/>
      <c r="B1001" s="2"/>
      <c r="C1001" s="2"/>
      <c r="D1001" s="3"/>
      <c r="E1001" s="3"/>
      <c r="F1001" s="3"/>
      <c r="G1001" s="3"/>
      <c r="H1001" s="4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>
      <c r="A1002" s="2"/>
      <c r="B1002" s="2"/>
      <c r="C1002" s="2"/>
      <c r="D1002" s="3"/>
      <c r="E1002" s="3"/>
      <c r="F1002" s="3"/>
      <c r="G1002" s="3"/>
      <c r="H1002" s="4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>
      <c r="A1003" s="2"/>
      <c r="B1003" s="2"/>
      <c r="C1003" s="2"/>
      <c r="D1003" s="3"/>
      <c r="E1003" s="3"/>
      <c r="F1003" s="3"/>
      <c r="G1003" s="3"/>
      <c r="H1003" s="4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>
      <c r="A1004" s="2"/>
      <c r="B1004" s="2"/>
      <c r="C1004" s="2"/>
      <c r="D1004" s="3"/>
      <c r="E1004" s="3"/>
      <c r="F1004" s="3"/>
      <c r="G1004" s="3"/>
      <c r="H1004" s="4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>
      <c r="A1005" s="2"/>
      <c r="B1005" s="2"/>
      <c r="C1005" s="2"/>
      <c r="D1005" s="3"/>
      <c r="E1005" s="3"/>
      <c r="F1005" s="3"/>
      <c r="G1005" s="3"/>
      <c r="H1005" s="4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>
      <c r="A1006" s="2"/>
      <c r="B1006" s="2"/>
      <c r="C1006" s="2"/>
      <c r="D1006" s="3"/>
      <c r="E1006" s="3"/>
      <c r="F1006" s="3"/>
      <c r="G1006" s="3"/>
      <c r="H1006" s="4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>
      <c r="A1007" s="2"/>
      <c r="B1007" s="2"/>
      <c r="C1007" s="2"/>
      <c r="D1007" s="3"/>
      <c r="E1007" s="3"/>
      <c r="F1007" s="3"/>
      <c r="G1007" s="3"/>
      <c r="H1007" s="4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>
      <c r="A1008" s="2"/>
      <c r="B1008" s="2"/>
      <c r="C1008" s="2"/>
      <c r="D1008" s="3"/>
      <c r="E1008" s="3"/>
      <c r="F1008" s="3"/>
      <c r="G1008" s="3"/>
      <c r="H1008" s="4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>
      <c r="A1009" s="2"/>
      <c r="B1009" s="2"/>
      <c r="C1009" s="2"/>
      <c r="D1009" s="3"/>
      <c r="E1009" s="3"/>
      <c r="F1009" s="3"/>
      <c r="G1009" s="3"/>
      <c r="H1009" s="4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</sheetData>
  <mergeCells count="15">
    <mergeCell ref="K18:M19"/>
    <mergeCell ref="P8:Q9"/>
    <mergeCell ref="K1:L1"/>
    <mergeCell ref="K2:L3"/>
    <mergeCell ref="M2:M3"/>
    <mergeCell ref="P2:Q3"/>
    <mergeCell ref="P4:Q5"/>
    <mergeCell ref="P6:Q7"/>
    <mergeCell ref="K4:M4"/>
    <mergeCell ref="K8:M9"/>
    <mergeCell ref="N16:P17"/>
    <mergeCell ref="K10:M11"/>
    <mergeCell ref="K12:M13"/>
    <mergeCell ref="K14:M15"/>
    <mergeCell ref="K16:M17"/>
  </mergeCells>
  <conditionalFormatting sqref="H2:H34">
    <cfRule type="colorScale" priority="1">
      <colorScale>
        <cfvo type="formula" val="0"/>
        <cfvo type="formula" val="0"/>
        <color rgb="FFFF0000"/>
        <color rgb="FF00B050"/>
      </colorScale>
    </cfRule>
  </conditionalFormatting>
  <pageMargins left="0.511811024" right="0.511811024" top="0.78740157499999996" bottom="0.78740157499999996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5A94-C097-4514-AC5F-90D291A33439}">
  <sheetPr codeName="Planilha2"/>
  <dimension ref="A1"/>
  <sheetViews>
    <sheetView showGridLines="0" topLeftCell="P60" zoomScaleNormal="100" workbookViewId="0">
      <selection activeCell="U96" sqref="U96"/>
    </sheetView>
  </sheetViews>
  <sheetFormatPr baseColWidth="10" defaultColWidth="8.83203125"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C316-FAF7-4794-948A-7AEDC06314B8}">
  <sheetPr codeName="Planilha3"/>
  <dimension ref="A1"/>
  <sheetViews>
    <sheetView showGridLines="0" zoomScale="90" zoomScaleNormal="90" workbookViewId="0">
      <selection activeCell="T44" sqref="T44"/>
    </sheetView>
  </sheetViews>
  <sheetFormatPr baseColWidth="10" defaultColWidth="8.83203125"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FCB5-328D-4BB6-B248-B6FEAC675580}">
  <sheetPr codeName="Planilha4"/>
  <dimension ref="A1"/>
  <sheetViews>
    <sheetView showGridLines="0" topLeftCell="A4" zoomScale="97" zoomScaleNormal="97" workbookViewId="0">
      <selection activeCell="Q89" sqref="Q89"/>
    </sheetView>
  </sheetViews>
  <sheetFormatPr baseColWidth="10" defaultColWidth="8.83203125"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7E96-DDD4-4722-9912-DF5933162629}">
  <dimension ref="A1:E13"/>
  <sheetViews>
    <sheetView workbookViewId="0">
      <selection activeCell="E5" sqref="E5"/>
    </sheetView>
  </sheetViews>
  <sheetFormatPr baseColWidth="10" defaultColWidth="8.83203125" defaultRowHeight="15"/>
  <cols>
    <col min="1" max="1" width="8.1640625" customWidth="1"/>
    <col min="2" max="2" width="11.83203125" bestFit="1" customWidth="1"/>
    <col min="3" max="3" width="2.83203125" customWidth="1"/>
    <col min="4" max="4" width="11.5" customWidth="1"/>
  </cols>
  <sheetData>
    <row r="1" spans="1:5" ht="24">
      <c r="A1" s="389" t="s">
        <v>21</v>
      </c>
      <c r="B1" s="389"/>
      <c r="C1" s="389"/>
      <c r="D1" s="62"/>
    </row>
    <row r="2" spans="1:5" ht="19.75" customHeight="1">
      <c r="A2" s="49">
        <v>45617</v>
      </c>
      <c r="B2" s="387">
        <v>300</v>
      </c>
      <c r="C2" s="387"/>
    </row>
    <row r="3" spans="1:5">
      <c r="A3" s="49">
        <v>45624</v>
      </c>
      <c r="B3" s="387">
        <v>300.89999999999998</v>
      </c>
      <c r="C3" s="387"/>
    </row>
    <row r="4" spans="1:5">
      <c r="A4" s="49">
        <v>45625</v>
      </c>
      <c r="B4" s="387">
        <v>300.89999999999998</v>
      </c>
      <c r="C4" s="387"/>
    </row>
    <row r="5" spans="1:5">
      <c r="A5" s="49">
        <v>45630</v>
      </c>
      <c r="B5" s="387">
        <v>420</v>
      </c>
      <c r="C5" s="387"/>
      <c r="E5" s="62" t="s">
        <v>24</v>
      </c>
    </row>
    <row r="6" spans="1:5">
      <c r="A6" s="49">
        <v>45631</v>
      </c>
      <c r="B6" s="387">
        <v>2040</v>
      </c>
      <c r="C6" s="387"/>
    </row>
    <row r="7" spans="1:5">
      <c r="A7" s="49">
        <v>45633</v>
      </c>
      <c r="B7" s="387">
        <v>1610</v>
      </c>
      <c r="C7" s="387"/>
    </row>
    <row r="9" spans="1:5" ht="22.75" customHeight="1">
      <c r="A9" s="64" t="s">
        <v>23</v>
      </c>
      <c r="B9" s="388">
        <f>SUM(B2:C7)</f>
        <v>4971.8</v>
      </c>
      <c r="C9" s="388"/>
    </row>
    <row r="13" spans="1:5">
      <c r="B13" s="63"/>
    </row>
  </sheetData>
  <mergeCells count="8">
    <mergeCell ref="B7:C7"/>
    <mergeCell ref="B9:C9"/>
    <mergeCell ref="B6:C6"/>
    <mergeCell ref="A1:C1"/>
    <mergeCell ref="B2:C2"/>
    <mergeCell ref="B3:C3"/>
    <mergeCell ref="B4:C4"/>
    <mergeCell ref="B5:C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C6EE-28A3-430A-9A06-6696695FD2BC}">
  <dimension ref="A1:AA1000"/>
  <sheetViews>
    <sheetView showGridLines="0" zoomScale="67" workbookViewId="0">
      <selection activeCell="H16" sqref="H16"/>
    </sheetView>
  </sheetViews>
  <sheetFormatPr baseColWidth="10" defaultColWidth="14" defaultRowHeight="15"/>
  <cols>
    <col min="1" max="1" width="8.1640625" bestFit="1" customWidth="1"/>
    <col min="2" max="2" width="6.6640625" customWidth="1"/>
    <col min="3" max="3" width="7.5" customWidth="1"/>
    <col min="4" max="4" width="13.83203125" customWidth="1"/>
    <col min="5" max="5" width="16.6640625" bestFit="1" customWidth="1"/>
    <col min="6" max="6" width="15.6640625" bestFit="1" customWidth="1"/>
    <col min="7" max="7" width="19.33203125" customWidth="1"/>
    <col min="8" max="10" width="13.83203125" customWidth="1"/>
    <col min="11" max="11" width="7.83203125" customWidth="1"/>
    <col min="12" max="12" width="15.1640625" customWidth="1"/>
    <col min="13" max="13" width="19.83203125" customWidth="1"/>
    <col min="14" max="14" width="11.33203125" customWidth="1"/>
    <col min="15" max="15" width="11.1640625" customWidth="1"/>
    <col min="16" max="16" width="11.6640625" customWidth="1"/>
    <col min="17" max="17" width="15" customWidth="1"/>
    <col min="18" max="18" width="8.83203125" customWidth="1"/>
    <col min="19" max="27" width="8.5" customWidth="1"/>
  </cols>
  <sheetData>
    <row r="1" spans="1:27" ht="30.5" customHeight="1" thickBot="1">
      <c r="A1" s="51" t="s">
        <v>0</v>
      </c>
      <c r="B1" s="20" t="s">
        <v>1</v>
      </c>
      <c r="C1" s="21" t="s">
        <v>2</v>
      </c>
      <c r="D1" s="50" t="s">
        <v>22</v>
      </c>
      <c r="E1" s="22" t="s">
        <v>13</v>
      </c>
      <c r="F1" s="23" t="s">
        <v>12</v>
      </c>
      <c r="G1" s="24" t="s">
        <v>15</v>
      </c>
      <c r="H1" s="25" t="s">
        <v>16</v>
      </c>
      <c r="I1" s="26" t="s">
        <v>3</v>
      </c>
      <c r="J1" s="34" t="s">
        <v>4</v>
      </c>
      <c r="K1" s="307" t="s">
        <v>17</v>
      </c>
      <c r="L1" s="308"/>
      <c r="M1" s="33" t="s">
        <v>5</v>
      </c>
      <c r="N1" s="67"/>
      <c r="O1" s="67"/>
      <c r="P1" s="67"/>
      <c r="Q1" s="67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2.75" customHeight="1" thickBot="1">
      <c r="A2" s="32">
        <v>45634</v>
      </c>
      <c r="B2" s="10"/>
      <c r="C2" s="65"/>
      <c r="D2" s="52"/>
      <c r="E2" s="18">
        <f>10000</f>
        <v>10000</v>
      </c>
      <c r="F2" s="17">
        <f t="shared" ref="F2:F25" si="0">G2-E2</f>
        <v>0</v>
      </c>
      <c r="G2" s="28">
        <v>10000</v>
      </c>
      <c r="H2" s="29">
        <f t="shared" ref="H2:H25" si="1">F2/E2</f>
        <v>0</v>
      </c>
      <c r="I2" s="5">
        <f>E2*M2</f>
        <v>600</v>
      </c>
      <c r="J2" s="7">
        <f>E2*K2</f>
        <v>300</v>
      </c>
      <c r="K2" s="309">
        <v>0.03</v>
      </c>
      <c r="L2" s="310"/>
      <c r="M2" s="313">
        <v>0.06</v>
      </c>
      <c r="N2" s="67"/>
      <c r="O2" s="67"/>
      <c r="P2" s="67"/>
      <c r="Q2" s="67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22.75" customHeight="1" thickBot="1">
      <c r="A3" s="32">
        <v>45635</v>
      </c>
      <c r="B3" s="10"/>
      <c r="C3" s="65"/>
      <c r="D3" s="53"/>
      <c r="E3" s="18">
        <f t="shared" ref="E3:E24" si="2">G2</f>
        <v>10000</v>
      </c>
      <c r="F3" s="17">
        <f t="shared" si="0"/>
        <v>0</v>
      </c>
      <c r="G3" s="28">
        <v>10000</v>
      </c>
      <c r="H3" s="29">
        <f t="shared" si="1"/>
        <v>0</v>
      </c>
      <c r="I3" s="5">
        <f>E3*M2</f>
        <v>600</v>
      </c>
      <c r="J3" s="7">
        <f>E3*K2</f>
        <v>300</v>
      </c>
      <c r="K3" s="311"/>
      <c r="L3" s="312"/>
      <c r="M3" s="314"/>
      <c r="N3" s="67"/>
      <c r="O3" s="67"/>
      <c r="P3" s="67"/>
      <c r="Q3" s="67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2.75" customHeight="1" thickBot="1">
      <c r="A4" s="32">
        <v>45636</v>
      </c>
      <c r="B4" s="10"/>
      <c r="C4" s="11"/>
      <c r="D4" s="52"/>
      <c r="E4" s="18">
        <f t="shared" si="2"/>
        <v>10000</v>
      </c>
      <c r="F4" s="17">
        <f t="shared" si="0"/>
        <v>0</v>
      </c>
      <c r="G4" s="28">
        <v>10000</v>
      </c>
      <c r="H4" s="29">
        <f t="shared" si="1"/>
        <v>0</v>
      </c>
      <c r="I4" s="5">
        <f>E4*M2</f>
        <v>600</v>
      </c>
      <c r="J4" s="7">
        <f>E4*K2</f>
        <v>300</v>
      </c>
      <c r="K4" s="316" t="s">
        <v>11</v>
      </c>
      <c r="L4" s="317"/>
      <c r="M4" s="317"/>
      <c r="N4" s="67"/>
      <c r="O4" s="67"/>
      <c r="P4" s="67"/>
      <c r="Q4" s="67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2.75" customHeight="1" thickBot="1">
      <c r="A5" s="32">
        <v>45637</v>
      </c>
      <c r="B5" s="10"/>
      <c r="C5" s="65"/>
      <c r="D5" s="56"/>
      <c r="E5" s="18">
        <f t="shared" si="2"/>
        <v>10000</v>
      </c>
      <c r="F5" s="17">
        <f t="shared" si="0"/>
        <v>0</v>
      </c>
      <c r="G5" s="28">
        <v>10000</v>
      </c>
      <c r="H5" s="29">
        <f t="shared" si="1"/>
        <v>0</v>
      </c>
      <c r="I5" s="5">
        <f>E5*M2</f>
        <v>600</v>
      </c>
      <c r="J5" s="7">
        <f>E5*K2</f>
        <v>300</v>
      </c>
      <c r="K5" s="37">
        <v>1</v>
      </c>
      <c r="L5" s="39">
        <v>8.0000000000000002E-3</v>
      </c>
      <c r="M5" s="38">
        <f>E17*0.008</f>
        <v>80.162399999999991</v>
      </c>
      <c r="N5" s="67"/>
      <c r="O5" s="67"/>
      <c r="P5" s="67"/>
      <c r="Q5" s="67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2.75" customHeight="1" thickBot="1">
      <c r="A6" s="32">
        <v>45638</v>
      </c>
      <c r="B6" s="12"/>
      <c r="C6" s="55" t="s">
        <v>9</v>
      </c>
      <c r="D6" s="56"/>
      <c r="E6" s="18">
        <f t="shared" si="2"/>
        <v>10000</v>
      </c>
      <c r="F6" s="17">
        <f t="shared" si="0"/>
        <v>-55.649999999999636</v>
      </c>
      <c r="G6" s="28">
        <v>9944.35</v>
      </c>
      <c r="H6" s="29">
        <f t="shared" si="1"/>
        <v>-5.5649999999999632E-3</v>
      </c>
      <c r="I6" s="5">
        <f>E6*M2</f>
        <v>600</v>
      </c>
      <c r="J6" s="46">
        <f>E6*K2</f>
        <v>300</v>
      </c>
      <c r="K6" s="37" t="s">
        <v>20</v>
      </c>
      <c r="L6" s="39">
        <v>1.6E-2</v>
      </c>
      <c r="M6" s="38">
        <f>E17*0.016</f>
        <v>160.32479999999998</v>
      </c>
      <c r="N6" s="67"/>
      <c r="O6" s="67"/>
      <c r="P6" s="67"/>
      <c r="Q6" s="67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22.75" customHeight="1" thickBot="1">
      <c r="A7" s="32">
        <v>45639</v>
      </c>
      <c r="B7" s="10"/>
      <c r="C7" s="65"/>
      <c r="D7" s="52"/>
      <c r="E7" s="18">
        <f t="shared" si="2"/>
        <v>9944.35</v>
      </c>
      <c r="F7" s="17">
        <f t="shared" si="0"/>
        <v>0</v>
      </c>
      <c r="G7" s="28">
        <v>9944.35</v>
      </c>
      <c r="H7" s="29">
        <f t="shared" si="1"/>
        <v>0</v>
      </c>
      <c r="I7" s="5">
        <f>E7*M2</f>
        <v>596.66099999999994</v>
      </c>
      <c r="J7" s="48">
        <f>E7*K2</f>
        <v>298.33049999999997</v>
      </c>
      <c r="K7" s="43"/>
      <c r="L7" s="44"/>
      <c r="M7" s="45"/>
      <c r="N7" s="67"/>
      <c r="O7" s="67"/>
      <c r="P7" s="67"/>
      <c r="Q7" s="67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2.75" customHeight="1" thickBot="1">
      <c r="A8" s="32">
        <v>45640</v>
      </c>
      <c r="B8" s="10"/>
      <c r="C8" s="65"/>
      <c r="D8" s="56"/>
      <c r="E8" s="18">
        <f t="shared" si="2"/>
        <v>9944.35</v>
      </c>
      <c r="F8" s="17">
        <f t="shared" si="0"/>
        <v>0</v>
      </c>
      <c r="G8" s="28">
        <v>9944.35</v>
      </c>
      <c r="H8" s="29">
        <f t="shared" si="1"/>
        <v>0</v>
      </c>
      <c r="I8" s="5">
        <f>E8*M2</f>
        <v>596.66099999999994</v>
      </c>
      <c r="J8" s="47">
        <f>E8*K2</f>
        <v>298.33049999999997</v>
      </c>
      <c r="K8" s="318" t="s">
        <v>4</v>
      </c>
      <c r="L8" s="319"/>
      <c r="M8" s="319"/>
      <c r="N8" s="67"/>
      <c r="O8" s="67"/>
      <c r="P8" s="67"/>
      <c r="Q8" s="67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2.75" customHeight="1" thickBot="1">
      <c r="A9" s="32">
        <v>45641</v>
      </c>
      <c r="B9" s="10"/>
      <c r="C9" s="65"/>
      <c r="D9" s="53"/>
      <c r="E9" s="18">
        <f t="shared" si="2"/>
        <v>9944.35</v>
      </c>
      <c r="F9" s="17">
        <f t="shared" si="0"/>
        <v>0</v>
      </c>
      <c r="G9" s="28">
        <v>9944.35</v>
      </c>
      <c r="H9" s="29">
        <f t="shared" si="1"/>
        <v>0</v>
      </c>
      <c r="I9" s="5">
        <f>E9*M2</f>
        <v>596.66099999999994</v>
      </c>
      <c r="J9" s="7">
        <f>E9*K2</f>
        <v>298.33049999999997</v>
      </c>
      <c r="K9" s="319"/>
      <c r="L9" s="319"/>
      <c r="M9" s="319"/>
      <c r="N9" s="67"/>
      <c r="O9" s="67"/>
      <c r="P9" s="67"/>
      <c r="Q9" s="67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2.75" customHeight="1" thickBot="1">
      <c r="A10" s="32">
        <v>45642</v>
      </c>
      <c r="B10" s="12" t="s">
        <v>10</v>
      </c>
      <c r="C10" s="54"/>
      <c r="D10" s="53"/>
      <c r="E10" s="18">
        <f t="shared" si="2"/>
        <v>9944.35</v>
      </c>
      <c r="F10" s="17">
        <f t="shared" si="0"/>
        <v>165.42000000000007</v>
      </c>
      <c r="G10" s="28">
        <v>10109.77</v>
      </c>
      <c r="H10" s="29">
        <f t="shared" si="1"/>
        <v>1.6634571389784157E-2</v>
      </c>
      <c r="I10" s="5">
        <f>E10*M2</f>
        <v>596.66099999999994</v>
      </c>
      <c r="J10" s="7">
        <f>E10*K2</f>
        <v>298.33049999999997</v>
      </c>
      <c r="K10" s="321">
        <v>1500</v>
      </c>
      <c r="L10" s="322"/>
      <c r="M10" s="322"/>
      <c r="N10" s="67"/>
      <c r="O10" s="67"/>
      <c r="P10" s="67"/>
      <c r="Q10" s="67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22.75" customHeight="1" thickBot="1">
      <c r="A11" s="32">
        <v>45643</v>
      </c>
      <c r="B11" s="12"/>
      <c r="C11" s="55" t="s">
        <v>9</v>
      </c>
      <c r="D11" s="53"/>
      <c r="E11" s="18">
        <f t="shared" si="2"/>
        <v>10109.77</v>
      </c>
      <c r="F11" s="17">
        <f t="shared" si="0"/>
        <v>-317.23999999999978</v>
      </c>
      <c r="G11" s="28">
        <v>9792.5300000000007</v>
      </c>
      <c r="H11" s="29">
        <f t="shared" si="1"/>
        <v>-3.1379546715701721E-2</v>
      </c>
      <c r="I11" s="5">
        <f>E11*M2</f>
        <v>606.58619999999996</v>
      </c>
      <c r="J11" s="7">
        <f>E11*K2</f>
        <v>303.29309999999998</v>
      </c>
      <c r="K11" s="322"/>
      <c r="L11" s="322"/>
      <c r="M11" s="322"/>
      <c r="N11" s="67"/>
      <c r="O11" s="67"/>
      <c r="P11" s="67"/>
      <c r="Q11" s="67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2.75" customHeight="1" thickBot="1">
      <c r="A12" s="32">
        <v>45644</v>
      </c>
      <c r="B12" s="12"/>
      <c r="C12" s="55" t="s">
        <v>9</v>
      </c>
      <c r="D12" s="53"/>
      <c r="E12" s="18">
        <f t="shared" si="2"/>
        <v>9792.5300000000007</v>
      </c>
      <c r="F12" s="17">
        <f t="shared" si="0"/>
        <v>-654.54000000000087</v>
      </c>
      <c r="G12" s="28">
        <v>9137.99</v>
      </c>
      <c r="H12" s="29">
        <f t="shared" si="1"/>
        <v>-6.684074493517006E-2</v>
      </c>
      <c r="I12" s="5">
        <f>E12*M2</f>
        <v>587.55180000000007</v>
      </c>
      <c r="J12" s="7">
        <f>E12*K2</f>
        <v>293.77590000000004</v>
      </c>
      <c r="K12" s="318" t="s">
        <v>6</v>
      </c>
      <c r="L12" s="323"/>
      <c r="M12" s="323"/>
      <c r="N12" s="67"/>
      <c r="O12" s="67"/>
      <c r="P12" s="67"/>
      <c r="Q12" s="67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2.75" customHeight="1" thickBot="1">
      <c r="A13" s="32">
        <v>45645</v>
      </c>
      <c r="B13" s="12" t="s">
        <v>10</v>
      </c>
      <c r="C13" s="55"/>
      <c r="D13" s="52"/>
      <c r="E13" s="18">
        <f t="shared" si="2"/>
        <v>9137.99</v>
      </c>
      <c r="F13" s="17">
        <f t="shared" si="0"/>
        <v>274.82999999999993</v>
      </c>
      <c r="G13" s="28">
        <v>9412.82</v>
      </c>
      <c r="H13" s="29">
        <f t="shared" si="1"/>
        <v>3.007554177669268E-2</v>
      </c>
      <c r="I13" s="5">
        <f>E13*M2</f>
        <v>548.27940000000001</v>
      </c>
      <c r="J13" s="7">
        <f>E13*K2</f>
        <v>274.1397</v>
      </c>
      <c r="K13" s="323"/>
      <c r="L13" s="323"/>
      <c r="M13" s="323"/>
      <c r="N13" s="67"/>
      <c r="O13" s="67"/>
      <c r="P13" s="67"/>
      <c r="Q13" s="67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2.75" customHeight="1" thickBot="1">
      <c r="A14" s="32">
        <v>45646</v>
      </c>
      <c r="B14" s="12" t="s">
        <v>10</v>
      </c>
      <c r="C14" s="55"/>
      <c r="D14" s="52"/>
      <c r="E14" s="18">
        <f t="shared" si="2"/>
        <v>9412.82</v>
      </c>
      <c r="F14" s="17">
        <f t="shared" si="0"/>
        <v>292.65999999999985</v>
      </c>
      <c r="G14" s="28">
        <v>9705.48</v>
      </c>
      <c r="H14" s="31">
        <f t="shared" si="1"/>
        <v>3.1091638849993931E-2</v>
      </c>
      <c r="I14" s="5">
        <f>E14*M2</f>
        <v>564.76919999999996</v>
      </c>
      <c r="J14" s="7">
        <f>E14*K2</f>
        <v>282.38459999999998</v>
      </c>
      <c r="K14" s="324">
        <f>SUM(F2:F25)+D26</f>
        <v>-908.77000000000044</v>
      </c>
      <c r="L14" s="325"/>
      <c r="M14" s="325"/>
      <c r="N14" s="67"/>
      <c r="O14" s="67"/>
      <c r="P14" s="67"/>
      <c r="Q14" s="67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2.75" customHeight="1" thickBot="1">
      <c r="A15" s="32">
        <v>45647</v>
      </c>
      <c r="B15" s="12" t="s">
        <v>10</v>
      </c>
      <c r="C15" s="55"/>
      <c r="D15" s="52"/>
      <c r="E15" s="18">
        <f t="shared" si="2"/>
        <v>9705.48</v>
      </c>
      <c r="F15" s="17">
        <f t="shared" si="0"/>
        <v>21.420000000000073</v>
      </c>
      <c r="G15" s="28">
        <v>9726.9</v>
      </c>
      <c r="H15" s="31">
        <f t="shared" si="1"/>
        <v>2.2070005811150066E-3</v>
      </c>
      <c r="I15" s="5">
        <f>E15*M2</f>
        <v>582.3288</v>
      </c>
      <c r="J15" s="46">
        <f>E15*K2</f>
        <v>291.1644</v>
      </c>
      <c r="K15" s="325"/>
      <c r="L15" s="325"/>
      <c r="M15" s="325"/>
      <c r="N15" s="67"/>
      <c r="O15" s="67"/>
      <c r="P15" s="67"/>
      <c r="Q15" s="67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2.75" customHeight="1" thickBot="1">
      <c r="A16" s="32">
        <v>45648</v>
      </c>
      <c r="B16" s="12" t="s">
        <v>10</v>
      </c>
      <c r="C16" s="54"/>
      <c r="D16" s="53"/>
      <c r="E16" s="18">
        <f t="shared" si="2"/>
        <v>9726.9</v>
      </c>
      <c r="F16" s="17">
        <f t="shared" si="0"/>
        <v>293.39999999999964</v>
      </c>
      <c r="G16" s="28">
        <v>10020.299999999999</v>
      </c>
      <c r="H16" s="31">
        <f t="shared" si="1"/>
        <v>3.0163772630540011E-2</v>
      </c>
      <c r="I16" s="5">
        <f>E16*M2</f>
        <v>583.61399999999992</v>
      </c>
      <c r="J16" s="48">
        <f>E16*K2</f>
        <v>291.80699999999996</v>
      </c>
      <c r="K16" s="67"/>
      <c r="L16" s="67"/>
      <c r="M16" s="67"/>
      <c r="N16" s="67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7" ht="22.75" customHeight="1" thickBot="1">
      <c r="A17" s="32">
        <v>45649</v>
      </c>
      <c r="B17" s="12" t="s">
        <v>10</v>
      </c>
      <c r="C17" s="55"/>
      <c r="D17" s="52"/>
      <c r="E17" s="18">
        <f t="shared" si="2"/>
        <v>10020.299999999999</v>
      </c>
      <c r="F17" s="17">
        <f t="shared" si="0"/>
        <v>297.43000000000029</v>
      </c>
      <c r="G17" s="28">
        <v>10317.73</v>
      </c>
      <c r="H17" s="31">
        <f t="shared" si="1"/>
        <v>2.9682744029619904E-2</v>
      </c>
      <c r="I17" s="5">
        <f>E17*M2</f>
        <v>601.21799999999996</v>
      </c>
      <c r="J17" s="48">
        <f>E17*K2</f>
        <v>300.60899999999998</v>
      </c>
      <c r="K17" s="67"/>
      <c r="L17" s="67"/>
      <c r="M17" s="67"/>
      <c r="N17" s="67"/>
      <c r="O17" s="3"/>
      <c r="P17" s="3"/>
      <c r="Q17" s="3"/>
      <c r="R17" s="3"/>
      <c r="S17" s="3"/>
      <c r="T17" s="3"/>
      <c r="U17" s="3"/>
      <c r="V17" s="3"/>
      <c r="W17" s="3"/>
      <c r="X17" s="9"/>
    </row>
    <row r="18" spans="1:27" ht="22.75" customHeight="1" thickBot="1">
      <c r="A18" s="32">
        <v>45650</v>
      </c>
      <c r="B18" s="12"/>
      <c r="C18" s="55" t="s">
        <v>9</v>
      </c>
      <c r="D18" s="52"/>
      <c r="E18" s="18">
        <f t="shared" si="2"/>
        <v>10317.73</v>
      </c>
      <c r="F18" s="17">
        <f t="shared" si="0"/>
        <v>-482.39999999999964</v>
      </c>
      <c r="G18" s="28">
        <v>9835.33</v>
      </c>
      <c r="H18" s="31">
        <f t="shared" si="1"/>
        <v>-4.6754470217770738E-2</v>
      </c>
      <c r="I18" s="5">
        <f>E18*M2</f>
        <v>619.0637999999999</v>
      </c>
      <c r="J18" s="48">
        <f>E18*K2</f>
        <v>309.53189999999995</v>
      </c>
      <c r="K18" s="67"/>
      <c r="L18" s="67"/>
      <c r="M18" s="67"/>
      <c r="N18" s="67"/>
      <c r="O18" s="3" t="s">
        <v>7</v>
      </c>
      <c r="P18" s="3"/>
      <c r="Q18" s="3"/>
      <c r="R18" s="3"/>
      <c r="S18" s="3"/>
      <c r="T18" s="3"/>
      <c r="U18" s="3"/>
      <c r="W18" s="3"/>
      <c r="X18" s="3"/>
    </row>
    <row r="19" spans="1:27" ht="22.75" customHeight="1" thickBot="1">
      <c r="A19" s="32">
        <v>45651</v>
      </c>
      <c r="B19" s="12"/>
      <c r="C19" s="55" t="s">
        <v>9</v>
      </c>
      <c r="D19" s="53"/>
      <c r="E19" s="18">
        <f t="shared" si="2"/>
        <v>9835.33</v>
      </c>
      <c r="F19" s="17">
        <f t="shared" si="0"/>
        <v>-478.04999999999927</v>
      </c>
      <c r="G19" s="28">
        <v>9357.2800000000007</v>
      </c>
      <c r="H19" s="31">
        <f t="shared" si="1"/>
        <v>-4.8605384872698658E-2</v>
      </c>
      <c r="I19" s="5">
        <f>E19*M2</f>
        <v>590.11979999999994</v>
      </c>
      <c r="J19" s="48">
        <f>E19*K2</f>
        <v>295.05989999999997</v>
      </c>
      <c r="K19" s="67"/>
      <c r="L19" s="67"/>
      <c r="M19" s="67"/>
      <c r="N19" s="67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7" ht="22.75" customHeight="1" thickBot="1">
      <c r="A20" s="32">
        <v>45652</v>
      </c>
      <c r="B20" s="12"/>
      <c r="C20" s="55" t="s">
        <v>9</v>
      </c>
      <c r="D20" s="52"/>
      <c r="E20" s="18">
        <f t="shared" si="2"/>
        <v>9357.2800000000007</v>
      </c>
      <c r="F20" s="17">
        <f t="shared" si="0"/>
        <v>-284.56000000000131</v>
      </c>
      <c r="G20" s="28">
        <v>9072.7199999999993</v>
      </c>
      <c r="H20" s="31">
        <f t="shared" si="1"/>
        <v>-3.0410546654583519E-2</v>
      </c>
      <c r="I20" s="5">
        <f>E20*M2</f>
        <v>561.43680000000006</v>
      </c>
      <c r="J20" s="48">
        <f>E20*K2</f>
        <v>280.71840000000003</v>
      </c>
      <c r="K20" s="329"/>
      <c r="L20" s="329"/>
      <c r="M20" s="329"/>
      <c r="N20" s="67"/>
      <c r="O20" s="67"/>
      <c r="P20" s="67"/>
      <c r="Q20" s="67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22.75" customHeight="1" thickBot="1">
      <c r="A21" s="32">
        <v>45653</v>
      </c>
      <c r="B21" s="12" t="s">
        <v>10</v>
      </c>
      <c r="C21" s="54"/>
      <c r="D21" s="53"/>
      <c r="E21" s="18">
        <f t="shared" si="2"/>
        <v>9072.7199999999993</v>
      </c>
      <c r="F21" s="17">
        <f t="shared" si="0"/>
        <v>0.26000000000021828</v>
      </c>
      <c r="G21" s="28">
        <v>9072.98</v>
      </c>
      <c r="H21" s="31">
        <f t="shared" si="1"/>
        <v>2.8657337601096286E-5</v>
      </c>
      <c r="I21" s="5">
        <f>E21*M2</f>
        <v>544.36319999999989</v>
      </c>
      <c r="J21" s="48">
        <f>E21*K2</f>
        <v>272.18159999999995</v>
      </c>
      <c r="K21" s="329"/>
      <c r="L21" s="329"/>
      <c r="M21" s="329"/>
      <c r="N21" s="67"/>
      <c r="O21" s="67"/>
      <c r="P21" s="67"/>
      <c r="Q21" s="67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2.75" customHeight="1" thickBot="1">
      <c r="A22" s="32">
        <v>45654</v>
      </c>
      <c r="B22" s="12" t="s">
        <v>10</v>
      </c>
      <c r="C22" s="54"/>
      <c r="D22" s="53"/>
      <c r="E22" s="18">
        <f t="shared" si="2"/>
        <v>9072.98</v>
      </c>
      <c r="F22" s="17">
        <f t="shared" si="0"/>
        <v>2.0200000000004366</v>
      </c>
      <c r="G22" s="28">
        <v>9075</v>
      </c>
      <c r="H22" s="31">
        <f t="shared" si="1"/>
        <v>2.226390888110011E-4</v>
      </c>
      <c r="I22" s="5">
        <f>E22*M2</f>
        <v>544.37879999999996</v>
      </c>
      <c r="J22" s="48">
        <f>E22*K2</f>
        <v>272.18939999999998</v>
      </c>
      <c r="K22" s="329"/>
      <c r="L22" s="329"/>
      <c r="M22" s="329"/>
      <c r="N22" s="67"/>
      <c r="O22" s="67"/>
      <c r="P22" s="67"/>
      <c r="Q22" s="67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2.75" customHeight="1" thickBot="1">
      <c r="A23" s="32">
        <v>45655</v>
      </c>
      <c r="B23" s="10"/>
      <c r="C23" s="65"/>
      <c r="D23" s="52"/>
      <c r="E23" s="18">
        <f t="shared" si="2"/>
        <v>9075</v>
      </c>
      <c r="F23" s="17">
        <f t="shared" si="0"/>
        <v>0</v>
      </c>
      <c r="G23" s="28">
        <v>9075</v>
      </c>
      <c r="H23" s="31">
        <f t="shared" si="1"/>
        <v>0</v>
      </c>
      <c r="I23" s="5">
        <f>E23*M2</f>
        <v>544.5</v>
      </c>
      <c r="J23" s="48">
        <f>E23*K2</f>
        <v>272.25</v>
      </c>
      <c r="K23" s="329"/>
      <c r="L23" s="329"/>
      <c r="M23" s="329"/>
      <c r="N23" s="67"/>
      <c r="O23" s="67"/>
      <c r="P23" s="67"/>
      <c r="Q23" s="67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2.75" customHeight="1" thickBot="1">
      <c r="A24" s="32">
        <v>45656</v>
      </c>
      <c r="B24" s="12" t="s">
        <v>10</v>
      </c>
      <c r="C24" s="55"/>
      <c r="D24" s="52"/>
      <c r="E24" s="18">
        <f t="shared" si="2"/>
        <v>9075</v>
      </c>
      <c r="F24" s="17">
        <f t="shared" si="0"/>
        <v>4.9599999999991269</v>
      </c>
      <c r="G24" s="28">
        <v>9079.9599999999991</v>
      </c>
      <c r="H24" s="31">
        <f t="shared" si="1"/>
        <v>5.4655647382910488E-4</v>
      </c>
      <c r="I24" s="5">
        <f>E24*M2</f>
        <v>544.5</v>
      </c>
      <c r="J24" s="48">
        <f>E24*K2</f>
        <v>272.25</v>
      </c>
      <c r="K24" s="330"/>
      <c r="L24" s="330"/>
      <c r="M24" s="330"/>
      <c r="N24" s="67"/>
      <c r="O24" s="67"/>
      <c r="P24" s="67"/>
      <c r="Q24" s="67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2.75" customHeight="1" thickBot="1">
      <c r="A25" s="32">
        <v>45657</v>
      </c>
      <c r="B25" s="12" t="s">
        <v>10</v>
      </c>
      <c r="C25" s="55"/>
      <c r="D25" s="52"/>
      <c r="E25" s="18">
        <f>G24</f>
        <v>9079.9599999999991</v>
      </c>
      <c r="F25" s="17">
        <f t="shared" si="0"/>
        <v>11.270000000000437</v>
      </c>
      <c r="G25" s="28">
        <v>9091.23</v>
      </c>
      <c r="H25" s="31">
        <f t="shared" si="1"/>
        <v>1.2411948951317449E-3</v>
      </c>
      <c r="I25" s="5">
        <f>E25*$M$2</f>
        <v>544.79759999999987</v>
      </c>
      <c r="J25" s="66">
        <f>E25*$K$2</f>
        <v>272.39879999999994</v>
      </c>
      <c r="K25" s="330"/>
      <c r="L25" s="330"/>
      <c r="M25" s="330"/>
      <c r="N25" s="67"/>
      <c r="O25" s="67"/>
      <c r="P25" s="67"/>
      <c r="Q25" s="67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2.75" customHeight="1">
      <c r="A26" s="59" t="s">
        <v>8</v>
      </c>
      <c r="B26" s="60">
        <f>COUNTA(B2:B25)</f>
        <v>10</v>
      </c>
      <c r="C26" s="61">
        <f>COUNTA(C2:C25)</f>
        <v>6</v>
      </c>
      <c r="D26" s="58">
        <f>SUM(D2:D25)</f>
        <v>0</v>
      </c>
      <c r="E26" s="6"/>
      <c r="F26" s="57">
        <f>SUM(F2:F25)</f>
        <v>-908.77000000000044</v>
      </c>
      <c r="G26" s="41" t="s">
        <v>19</v>
      </c>
      <c r="H26" s="42">
        <f>SUM(H3:H25)/SUM(B26,C26)</f>
        <v>-5.4788360214253762E-3</v>
      </c>
      <c r="I26" s="6"/>
      <c r="J26" s="6"/>
      <c r="K26" s="330"/>
      <c r="L26" s="330"/>
      <c r="M26" s="330"/>
      <c r="N26" s="67"/>
      <c r="O26" s="67"/>
      <c r="P26" s="67"/>
      <c r="Q26" s="67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2"/>
      <c r="B27" s="2"/>
      <c r="C27" s="2"/>
      <c r="D27" s="2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2"/>
      <c r="B28" s="2"/>
      <c r="C28" s="2"/>
      <c r="D28" s="2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2"/>
      <c r="B29" s="2"/>
      <c r="C29" s="2"/>
      <c r="D29" s="2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2"/>
      <c r="B30" s="2"/>
      <c r="C30" s="2"/>
      <c r="D30" s="2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2"/>
      <c r="B31" s="2"/>
      <c r="C31" s="2"/>
      <c r="D31" s="2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2"/>
      <c r="B32" s="2"/>
      <c r="C32" s="2"/>
      <c r="D32" s="2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2"/>
      <c r="B33" s="2"/>
      <c r="C33" s="2"/>
      <c r="D33" s="2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2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 customHeight="1">
      <c r="A35" s="2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" customHeight="1">
      <c r="A36" s="2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" customHeight="1">
      <c r="A37" s="2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" customHeight="1">
      <c r="A38" s="2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2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2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2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2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2"/>
      <c r="B43" s="2"/>
      <c r="C43" s="2"/>
      <c r="D43" s="2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2"/>
      <c r="B44" s="2"/>
      <c r="C44" s="2"/>
      <c r="D44" s="2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2"/>
      <c r="B45" s="2"/>
      <c r="C45" s="2"/>
      <c r="D45" s="2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2"/>
      <c r="B46" s="2"/>
      <c r="C46" s="2"/>
      <c r="D46" s="2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2"/>
      <c r="B47" s="2"/>
      <c r="C47" s="2"/>
      <c r="D47" s="2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2"/>
      <c r="B48" s="2"/>
      <c r="C48" s="2"/>
      <c r="D48" s="2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2"/>
      <c r="B49" s="2"/>
      <c r="C49" s="2"/>
      <c r="D49" s="2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2"/>
      <c r="B50" s="2"/>
      <c r="C50" s="2"/>
      <c r="D50" s="2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2"/>
      <c r="B51" s="2"/>
      <c r="C51" s="2"/>
      <c r="D51" s="2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2"/>
      <c r="B52" s="2"/>
      <c r="C52" s="2"/>
      <c r="D52" s="2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2"/>
      <c r="B53" s="2"/>
      <c r="C53" s="2"/>
      <c r="D53" s="2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2"/>
      <c r="B54" s="2"/>
      <c r="C54" s="2"/>
      <c r="D54" s="2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2"/>
      <c r="B55" s="2"/>
      <c r="C55" s="2"/>
      <c r="D55" s="2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2"/>
      <c r="B56" s="2"/>
      <c r="C56" s="2"/>
      <c r="D56" s="2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2"/>
      <c r="B57" s="2"/>
      <c r="C57" s="2"/>
      <c r="D57" s="2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2"/>
      <c r="B58" s="2"/>
      <c r="C58" s="2"/>
      <c r="D58" s="2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2"/>
      <c r="B59" s="2"/>
      <c r="C59" s="2"/>
      <c r="D59" s="2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2"/>
      <c r="B60" s="2"/>
      <c r="C60" s="2"/>
      <c r="D60" s="2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2"/>
      <c r="B61" s="2"/>
      <c r="C61" s="2"/>
      <c r="D61" s="2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2"/>
      <c r="B62" s="2"/>
      <c r="C62" s="2"/>
      <c r="D62" s="2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2"/>
      <c r="B63" s="2"/>
      <c r="C63" s="2"/>
      <c r="D63" s="2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2"/>
      <c r="B64" s="2"/>
      <c r="C64" s="2"/>
      <c r="D64" s="2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2"/>
      <c r="B65" s="2"/>
      <c r="C65" s="2"/>
      <c r="D65" s="2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2"/>
      <c r="B66" s="2"/>
      <c r="C66" s="2"/>
      <c r="D66" s="2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2"/>
      <c r="B67" s="2"/>
      <c r="C67" s="2"/>
      <c r="D67" s="2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2"/>
      <c r="B68" s="2"/>
      <c r="C68" s="2"/>
      <c r="D68" s="2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2"/>
      <c r="B69" s="2"/>
      <c r="C69" s="2"/>
      <c r="D69" s="2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2"/>
      <c r="B70" s="2"/>
      <c r="C70" s="2"/>
      <c r="D70" s="2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2"/>
      <c r="B71" s="2"/>
      <c r="C71" s="2"/>
      <c r="D71" s="2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2"/>
      <c r="B72" s="2"/>
      <c r="C72" s="2"/>
      <c r="D72" s="2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2"/>
      <c r="B73" s="2"/>
      <c r="C73" s="2"/>
      <c r="D73" s="2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2"/>
      <c r="B74" s="2"/>
      <c r="C74" s="2"/>
      <c r="D74" s="2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2"/>
      <c r="B75" s="2"/>
      <c r="C75" s="2"/>
      <c r="D75" s="2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2"/>
      <c r="B76" s="2"/>
      <c r="C76" s="2"/>
      <c r="D76" s="2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2"/>
      <c r="B77" s="2"/>
      <c r="C77" s="2"/>
      <c r="D77" s="2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2"/>
      <c r="B78" s="2"/>
      <c r="C78" s="2"/>
      <c r="D78" s="2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2"/>
      <c r="B79" s="2"/>
      <c r="C79" s="2"/>
      <c r="D79" s="2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2"/>
      <c r="B80" s="2"/>
      <c r="C80" s="2"/>
      <c r="D80" s="2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2"/>
      <c r="B81" s="2"/>
      <c r="C81" s="2"/>
      <c r="D81" s="2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2"/>
      <c r="B82" s="2"/>
      <c r="C82" s="2"/>
      <c r="D82" s="2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2"/>
      <c r="B83" s="2"/>
      <c r="C83" s="2"/>
      <c r="D83" s="2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2"/>
      <c r="B84" s="2"/>
      <c r="C84" s="2"/>
      <c r="D84" s="2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2"/>
      <c r="B85" s="2"/>
      <c r="C85" s="2"/>
      <c r="D85" s="2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2"/>
      <c r="B86" s="2"/>
      <c r="C86" s="2"/>
      <c r="D86" s="2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2"/>
      <c r="B87" s="2"/>
      <c r="C87" s="2"/>
      <c r="D87" s="2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2"/>
      <c r="B88" s="2"/>
      <c r="C88" s="2"/>
      <c r="D88" s="2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2"/>
      <c r="B89" s="2"/>
      <c r="C89" s="2"/>
      <c r="D89" s="2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2"/>
      <c r="B90" s="2"/>
      <c r="C90" s="2"/>
      <c r="D90" s="2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2"/>
      <c r="B91" s="2"/>
      <c r="C91" s="2"/>
      <c r="D91" s="2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2"/>
      <c r="B92" s="2"/>
      <c r="C92" s="2"/>
      <c r="D92" s="2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2"/>
      <c r="B93" s="2"/>
      <c r="C93" s="2"/>
      <c r="D93" s="2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2"/>
      <c r="B94" s="2"/>
      <c r="C94" s="2"/>
      <c r="D94" s="2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2"/>
      <c r="B95" s="2"/>
      <c r="C95" s="2"/>
      <c r="D95" s="2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2"/>
      <c r="B96" s="2"/>
      <c r="C96" s="2"/>
      <c r="D96" s="2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2"/>
      <c r="B97" s="2"/>
      <c r="C97" s="2"/>
      <c r="D97" s="2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2"/>
      <c r="B98" s="2"/>
      <c r="C98" s="2"/>
      <c r="D98" s="2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2"/>
      <c r="B99" s="2"/>
      <c r="C99" s="2"/>
      <c r="D99" s="2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2"/>
      <c r="B100" s="2"/>
      <c r="C100" s="2"/>
      <c r="D100" s="2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2"/>
      <c r="B101" s="2"/>
      <c r="C101" s="2"/>
      <c r="D101" s="2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2"/>
      <c r="B102" s="2"/>
      <c r="C102" s="2"/>
      <c r="D102" s="2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2"/>
      <c r="B103" s="2"/>
      <c r="C103" s="2"/>
      <c r="D103" s="2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2"/>
      <c r="B104" s="2"/>
      <c r="C104" s="2"/>
      <c r="D104" s="2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2"/>
      <c r="B105" s="2"/>
      <c r="C105" s="2"/>
      <c r="D105" s="2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2"/>
      <c r="B106" s="2"/>
      <c r="C106" s="2"/>
      <c r="D106" s="2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2"/>
      <c r="B107" s="2"/>
      <c r="C107" s="2"/>
      <c r="D107" s="2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2"/>
      <c r="B108" s="2"/>
      <c r="C108" s="2"/>
      <c r="D108" s="2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2"/>
      <c r="B109" s="2"/>
      <c r="C109" s="2"/>
      <c r="D109" s="2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2"/>
      <c r="B110" s="2"/>
      <c r="C110" s="2"/>
      <c r="D110" s="2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2"/>
      <c r="B111" s="2"/>
      <c r="C111" s="2"/>
      <c r="D111" s="2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2"/>
      <c r="B112" s="2"/>
      <c r="C112" s="2"/>
      <c r="D112" s="2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2"/>
      <c r="B113" s="2"/>
      <c r="C113" s="2"/>
      <c r="D113" s="2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2"/>
      <c r="B114" s="2"/>
      <c r="C114" s="2"/>
      <c r="D114" s="2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2"/>
      <c r="B115" s="2"/>
      <c r="C115" s="2"/>
      <c r="D115" s="2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2"/>
      <c r="B116" s="2"/>
      <c r="C116" s="2"/>
      <c r="D116" s="2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2"/>
      <c r="B117" s="2"/>
      <c r="C117" s="2"/>
      <c r="D117" s="2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2"/>
      <c r="B118" s="2"/>
      <c r="C118" s="2"/>
      <c r="D118" s="2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2"/>
      <c r="B119" s="2"/>
      <c r="C119" s="2"/>
      <c r="D119" s="2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2"/>
      <c r="B120" s="2"/>
      <c r="C120" s="2"/>
      <c r="D120" s="2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2"/>
      <c r="B121" s="2"/>
      <c r="C121" s="2"/>
      <c r="D121" s="2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2"/>
      <c r="B122" s="2"/>
      <c r="C122" s="2"/>
      <c r="D122" s="2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2"/>
      <c r="B123" s="2"/>
      <c r="C123" s="2"/>
      <c r="D123" s="2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2"/>
      <c r="B124" s="2"/>
      <c r="C124" s="2"/>
      <c r="D124" s="2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2"/>
      <c r="B125" s="2"/>
      <c r="C125" s="2"/>
      <c r="D125" s="2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2"/>
      <c r="B126" s="2"/>
      <c r="C126" s="2"/>
      <c r="D126" s="2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2"/>
      <c r="B127" s="2"/>
      <c r="C127" s="2"/>
      <c r="D127" s="2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2"/>
      <c r="B128" s="2"/>
      <c r="C128" s="2"/>
      <c r="D128" s="2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2"/>
      <c r="B129" s="2"/>
      <c r="C129" s="2"/>
      <c r="D129" s="2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2"/>
      <c r="B130" s="2"/>
      <c r="C130" s="2"/>
      <c r="D130" s="2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2"/>
      <c r="B131" s="2"/>
      <c r="C131" s="2"/>
      <c r="D131" s="2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2"/>
      <c r="B132" s="2"/>
      <c r="C132" s="2"/>
      <c r="D132" s="2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2"/>
      <c r="B133" s="2"/>
      <c r="C133" s="2"/>
      <c r="D133" s="2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2"/>
      <c r="B134" s="2"/>
      <c r="C134" s="2"/>
      <c r="D134" s="2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2"/>
      <c r="B135" s="2"/>
      <c r="C135" s="2"/>
      <c r="D135" s="2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2"/>
      <c r="B136" s="2"/>
      <c r="C136" s="2"/>
      <c r="D136" s="2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2"/>
      <c r="B137" s="2"/>
      <c r="C137" s="2"/>
      <c r="D137" s="2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2"/>
      <c r="B138" s="2"/>
      <c r="C138" s="2"/>
      <c r="D138" s="2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2"/>
      <c r="B139" s="2"/>
      <c r="C139" s="2"/>
      <c r="D139" s="2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2"/>
      <c r="B140" s="2"/>
      <c r="C140" s="2"/>
      <c r="D140" s="2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2"/>
      <c r="B141" s="2"/>
      <c r="C141" s="2"/>
      <c r="D141" s="2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2"/>
      <c r="B142" s="2"/>
      <c r="C142" s="2"/>
      <c r="D142" s="2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2"/>
      <c r="B143" s="2"/>
      <c r="C143" s="2"/>
      <c r="D143" s="2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2"/>
      <c r="B144" s="2"/>
      <c r="C144" s="2"/>
      <c r="D144" s="2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2"/>
      <c r="B145" s="2"/>
      <c r="C145" s="2"/>
      <c r="D145" s="2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2"/>
      <c r="B146" s="2"/>
      <c r="C146" s="2"/>
      <c r="D146" s="2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2"/>
      <c r="B147" s="2"/>
      <c r="C147" s="2"/>
      <c r="D147" s="2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2"/>
      <c r="B148" s="2"/>
      <c r="C148" s="2"/>
      <c r="D148" s="2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2"/>
      <c r="B149" s="2"/>
      <c r="C149" s="2"/>
      <c r="D149" s="2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2"/>
      <c r="B150" s="2"/>
      <c r="C150" s="2"/>
      <c r="D150" s="2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2"/>
      <c r="B151" s="2"/>
      <c r="C151" s="2"/>
      <c r="D151" s="2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2"/>
      <c r="B152" s="2"/>
      <c r="C152" s="2"/>
      <c r="D152" s="2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2"/>
      <c r="B153" s="2"/>
      <c r="C153" s="2"/>
      <c r="D153" s="2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2"/>
      <c r="B154" s="2"/>
      <c r="C154" s="2"/>
      <c r="D154" s="2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2"/>
      <c r="B155" s="2"/>
      <c r="C155" s="2"/>
      <c r="D155" s="2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2"/>
      <c r="B156" s="2"/>
      <c r="C156" s="2"/>
      <c r="D156" s="2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2"/>
      <c r="B157" s="2"/>
      <c r="C157" s="2"/>
      <c r="D157" s="2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2"/>
      <c r="B158" s="2"/>
      <c r="C158" s="2"/>
      <c r="D158" s="2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2"/>
      <c r="B159" s="2"/>
      <c r="C159" s="2"/>
      <c r="D159" s="2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2"/>
      <c r="B160" s="2"/>
      <c r="C160" s="2"/>
      <c r="D160" s="2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2"/>
      <c r="B161" s="2"/>
      <c r="C161" s="2"/>
      <c r="D161" s="2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2"/>
      <c r="B162" s="2"/>
      <c r="C162" s="2"/>
      <c r="D162" s="2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2"/>
      <c r="B163" s="2"/>
      <c r="C163" s="2"/>
      <c r="D163" s="2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2"/>
      <c r="B164" s="2"/>
      <c r="C164" s="2"/>
      <c r="D164" s="2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2"/>
      <c r="B165" s="2"/>
      <c r="C165" s="2"/>
      <c r="D165" s="2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2"/>
      <c r="B166" s="2"/>
      <c r="C166" s="2"/>
      <c r="D166" s="2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2"/>
      <c r="B167" s="2"/>
      <c r="C167" s="2"/>
      <c r="D167" s="2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2"/>
      <c r="B168" s="2"/>
      <c r="C168" s="2"/>
      <c r="D168" s="2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2"/>
      <c r="B169" s="2"/>
      <c r="C169" s="2"/>
      <c r="D169" s="2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2"/>
      <c r="B170" s="2"/>
      <c r="C170" s="2"/>
      <c r="D170" s="2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2"/>
      <c r="B171" s="2"/>
      <c r="C171" s="2"/>
      <c r="D171" s="2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2"/>
      <c r="B172" s="2"/>
      <c r="C172" s="2"/>
      <c r="D172" s="2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2"/>
      <c r="B173" s="2"/>
      <c r="C173" s="2"/>
      <c r="D173" s="2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2"/>
      <c r="B174" s="2"/>
      <c r="C174" s="2"/>
      <c r="D174" s="2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2"/>
      <c r="B175" s="2"/>
      <c r="C175" s="2"/>
      <c r="D175" s="2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2"/>
      <c r="B176" s="2"/>
      <c r="C176" s="2"/>
      <c r="D176" s="2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2"/>
      <c r="B177" s="2"/>
      <c r="C177" s="2"/>
      <c r="D177" s="2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2"/>
      <c r="B178" s="2"/>
      <c r="C178" s="2"/>
      <c r="D178" s="2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2"/>
      <c r="B179" s="2"/>
      <c r="C179" s="2"/>
      <c r="D179" s="2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2"/>
      <c r="B180" s="2"/>
      <c r="C180" s="2"/>
      <c r="D180" s="2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2"/>
      <c r="B181" s="2"/>
      <c r="C181" s="2"/>
      <c r="D181" s="2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2"/>
      <c r="B182" s="2"/>
      <c r="C182" s="2"/>
      <c r="D182" s="2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2"/>
      <c r="B183" s="2"/>
      <c r="C183" s="2"/>
      <c r="D183" s="2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2"/>
      <c r="B184" s="2"/>
      <c r="C184" s="2"/>
      <c r="D184" s="2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2"/>
      <c r="B185" s="2"/>
      <c r="C185" s="2"/>
      <c r="D185" s="2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2"/>
      <c r="B186" s="2"/>
      <c r="C186" s="2"/>
      <c r="D186" s="2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2"/>
      <c r="B187" s="2"/>
      <c r="C187" s="2"/>
      <c r="D187" s="2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2"/>
      <c r="B188" s="2"/>
      <c r="C188" s="2"/>
      <c r="D188" s="2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2"/>
      <c r="B189" s="2"/>
      <c r="C189" s="2"/>
      <c r="D189" s="2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2"/>
      <c r="B190" s="2"/>
      <c r="C190" s="2"/>
      <c r="D190" s="2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2"/>
      <c r="B191" s="2"/>
      <c r="C191" s="2"/>
      <c r="D191" s="2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2"/>
      <c r="B192" s="2"/>
      <c r="C192" s="2"/>
      <c r="D192" s="2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2"/>
      <c r="B193" s="2"/>
      <c r="C193" s="2"/>
      <c r="D193" s="2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2"/>
      <c r="B194" s="2"/>
      <c r="C194" s="2"/>
      <c r="D194" s="2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2"/>
      <c r="B195" s="2"/>
      <c r="C195" s="2"/>
      <c r="D195" s="2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2"/>
      <c r="B196" s="2"/>
      <c r="C196" s="2"/>
      <c r="D196" s="2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2"/>
      <c r="B197" s="2"/>
      <c r="C197" s="2"/>
      <c r="D197" s="2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2"/>
      <c r="B198" s="2"/>
      <c r="C198" s="2"/>
      <c r="D198" s="2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2"/>
      <c r="B199" s="2"/>
      <c r="C199" s="2"/>
      <c r="D199" s="2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2"/>
      <c r="B200" s="2"/>
      <c r="C200" s="2"/>
      <c r="D200" s="2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2"/>
      <c r="B201" s="2"/>
      <c r="C201" s="2"/>
      <c r="D201" s="2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2"/>
      <c r="B202" s="2"/>
      <c r="C202" s="2"/>
      <c r="D202" s="2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2"/>
      <c r="B203" s="2"/>
      <c r="C203" s="2"/>
      <c r="D203" s="2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2"/>
      <c r="B204" s="2"/>
      <c r="C204" s="2"/>
      <c r="D204" s="2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2"/>
      <c r="B205" s="2"/>
      <c r="C205" s="2"/>
      <c r="D205" s="2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2"/>
      <c r="B206" s="2"/>
      <c r="C206" s="2"/>
      <c r="D206" s="2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2"/>
      <c r="B207" s="2"/>
      <c r="C207" s="2"/>
      <c r="D207" s="2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2"/>
      <c r="B208" s="2"/>
      <c r="C208" s="2"/>
      <c r="D208" s="2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2"/>
      <c r="B209" s="2"/>
      <c r="C209" s="2"/>
      <c r="D209" s="2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2"/>
      <c r="B210" s="2"/>
      <c r="C210" s="2"/>
      <c r="D210" s="2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2"/>
      <c r="B211" s="2"/>
      <c r="C211" s="2"/>
      <c r="D211" s="2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2"/>
      <c r="B212" s="2"/>
      <c r="C212" s="2"/>
      <c r="D212" s="2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2"/>
      <c r="B213" s="2"/>
      <c r="C213" s="2"/>
      <c r="D213" s="2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2"/>
      <c r="B214" s="2"/>
      <c r="C214" s="2"/>
      <c r="D214" s="2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2"/>
      <c r="B215" s="2"/>
      <c r="C215" s="2"/>
      <c r="D215" s="2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2"/>
      <c r="B216" s="2"/>
      <c r="C216" s="2"/>
      <c r="D216" s="2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2"/>
      <c r="B217" s="2"/>
      <c r="C217" s="2"/>
      <c r="D217" s="2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2"/>
      <c r="B218" s="2"/>
      <c r="C218" s="2"/>
      <c r="D218" s="2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2"/>
      <c r="B219" s="2"/>
      <c r="C219" s="2"/>
      <c r="D219" s="2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2"/>
      <c r="B220" s="2"/>
      <c r="C220" s="2"/>
      <c r="D220" s="2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2"/>
      <c r="B221" s="2"/>
      <c r="C221" s="2"/>
      <c r="D221" s="2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2"/>
      <c r="B222" s="2"/>
      <c r="C222" s="2"/>
      <c r="D222" s="2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2"/>
      <c r="B223" s="2"/>
      <c r="C223" s="2"/>
      <c r="D223" s="2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2"/>
      <c r="B224" s="2"/>
      <c r="C224" s="2"/>
      <c r="D224" s="2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2"/>
      <c r="B225" s="2"/>
      <c r="C225" s="2"/>
      <c r="D225" s="2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2"/>
      <c r="B226" s="2"/>
      <c r="C226" s="2"/>
      <c r="D226" s="2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2"/>
      <c r="B227" s="2"/>
      <c r="C227" s="2"/>
      <c r="D227" s="2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2"/>
      <c r="B228" s="2"/>
      <c r="C228" s="2"/>
      <c r="D228" s="2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2"/>
      <c r="B229" s="2"/>
      <c r="C229" s="2"/>
      <c r="D229" s="2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2"/>
      <c r="B230" s="2"/>
      <c r="C230" s="2"/>
      <c r="D230" s="2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2"/>
      <c r="B231" s="2"/>
      <c r="C231" s="2"/>
      <c r="D231" s="2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2"/>
      <c r="B232" s="2"/>
      <c r="C232" s="2"/>
      <c r="D232" s="2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2"/>
      <c r="B233" s="2"/>
      <c r="C233" s="2"/>
      <c r="D233" s="2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2"/>
      <c r="B234" s="2"/>
      <c r="C234" s="2"/>
      <c r="D234" s="2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2"/>
      <c r="B235" s="2"/>
      <c r="C235" s="2"/>
      <c r="D235" s="2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2"/>
      <c r="B236" s="2"/>
      <c r="C236" s="2"/>
      <c r="D236" s="2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2"/>
      <c r="B237" s="2"/>
      <c r="C237" s="2"/>
      <c r="D237" s="2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2"/>
      <c r="B238" s="2"/>
      <c r="C238" s="2"/>
      <c r="D238" s="2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2"/>
      <c r="B239" s="2"/>
      <c r="C239" s="2"/>
      <c r="D239" s="2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2"/>
      <c r="B240" s="2"/>
      <c r="C240" s="2"/>
      <c r="D240" s="2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2"/>
      <c r="B241" s="2"/>
      <c r="C241" s="2"/>
      <c r="D241" s="2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2"/>
      <c r="B242" s="2"/>
      <c r="C242" s="2"/>
      <c r="D242" s="2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2"/>
      <c r="B243" s="2"/>
      <c r="C243" s="2"/>
      <c r="D243" s="2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2"/>
      <c r="B244" s="2"/>
      <c r="C244" s="2"/>
      <c r="D244" s="2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2"/>
      <c r="B245" s="2"/>
      <c r="C245" s="2"/>
      <c r="D245" s="2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2"/>
      <c r="B246" s="2"/>
      <c r="C246" s="2"/>
      <c r="D246" s="2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2"/>
      <c r="B247" s="2"/>
      <c r="C247" s="2"/>
      <c r="D247" s="2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2"/>
      <c r="B248" s="2"/>
      <c r="C248" s="2"/>
      <c r="D248" s="2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2"/>
      <c r="B249" s="2"/>
      <c r="C249" s="2"/>
      <c r="D249" s="2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2"/>
      <c r="B250" s="2"/>
      <c r="C250" s="2"/>
      <c r="D250" s="2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2"/>
      <c r="B251" s="2"/>
      <c r="C251" s="2"/>
      <c r="D251" s="2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2"/>
      <c r="B252" s="2"/>
      <c r="C252" s="2"/>
      <c r="D252" s="2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2"/>
      <c r="B253" s="2"/>
      <c r="C253" s="2"/>
      <c r="D253" s="2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2"/>
      <c r="B254" s="2"/>
      <c r="C254" s="2"/>
      <c r="D254" s="2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2"/>
      <c r="B255" s="2"/>
      <c r="C255" s="2"/>
      <c r="D255" s="2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2"/>
      <c r="B256" s="2"/>
      <c r="C256" s="2"/>
      <c r="D256" s="2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2"/>
      <c r="B257" s="2"/>
      <c r="C257" s="2"/>
      <c r="D257" s="2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/>
      <c r="B258" s="2"/>
      <c r="C258" s="2"/>
      <c r="D258" s="2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2"/>
      <c r="B259" s="2"/>
      <c r="C259" s="2"/>
      <c r="D259" s="2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2"/>
      <c r="B260" s="2"/>
      <c r="C260" s="2"/>
      <c r="D260" s="2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2"/>
      <c r="B261" s="2"/>
      <c r="C261" s="2"/>
      <c r="D261" s="2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2"/>
      <c r="B262" s="2"/>
      <c r="C262" s="2"/>
      <c r="D262" s="2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2"/>
      <c r="B263" s="2"/>
      <c r="C263" s="2"/>
      <c r="D263" s="2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2"/>
      <c r="B264" s="2"/>
      <c r="C264" s="2"/>
      <c r="D264" s="2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2"/>
      <c r="B265" s="2"/>
      <c r="C265" s="2"/>
      <c r="D265" s="2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2"/>
      <c r="B266" s="2"/>
      <c r="C266" s="2"/>
      <c r="D266" s="2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2"/>
      <c r="B267" s="2"/>
      <c r="C267" s="2"/>
      <c r="D267" s="2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2"/>
      <c r="B268" s="2"/>
      <c r="C268" s="2"/>
      <c r="D268" s="2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2"/>
      <c r="B269" s="2"/>
      <c r="C269" s="2"/>
      <c r="D269" s="2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2"/>
      <c r="B270" s="2"/>
      <c r="C270" s="2"/>
      <c r="D270" s="2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2"/>
      <c r="B271" s="2"/>
      <c r="C271" s="2"/>
      <c r="D271" s="2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2"/>
      <c r="B272" s="2"/>
      <c r="C272" s="2"/>
      <c r="D272" s="2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2"/>
      <c r="B273" s="2"/>
      <c r="C273" s="2"/>
      <c r="D273" s="2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2"/>
      <c r="B274" s="2"/>
      <c r="C274" s="2"/>
      <c r="D274" s="2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2"/>
      <c r="B275" s="2"/>
      <c r="C275" s="2"/>
      <c r="D275" s="2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2"/>
      <c r="B276" s="2"/>
      <c r="C276" s="2"/>
      <c r="D276" s="2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2"/>
      <c r="B277" s="2"/>
      <c r="C277" s="2"/>
      <c r="D277" s="2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2"/>
      <c r="B278" s="2"/>
      <c r="C278" s="2"/>
      <c r="D278" s="2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2"/>
      <c r="B279" s="2"/>
      <c r="C279" s="2"/>
      <c r="D279" s="2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2"/>
      <c r="B280" s="2"/>
      <c r="C280" s="2"/>
      <c r="D280" s="2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2"/>
      <c r="B281" s="2"/>
      <c r="C281" s="2"/>
      <c r="D281" s="2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2"/>
      <c r="B282" s="2"/>
      <c r="C282" s="2"/>
      <c r="D282" s="2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2"/>
      <c r="B283" s="2"/>
      <c r="C283" s="2"/>
      <c r="D283" s="2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2"/>
      <c r="B284" s="2"/>
      <c r="C284" s="2"/>
      <c r="D284" s="2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2"/>
      <c r="B285" s="2"/>
      <c r="C285" s="2"/>
      <c r="D285" s="2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2"/>
      <c r="B286" s="2"/>
      <c r="C286" s="2"/>
      <c r="D286" s="2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2"/>
      <c r="B287" s="2"/>
      <c r="C287" s="2"/>
      <c r="D287" s="2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>
      <c r="A288" s="2"/>
      <c r="B288" s="2"/>
      <c r="C288" s="2"/>
      <c r="D288" s="2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>
      <c r="A289" s="2"/>
      <c r="B289" s="2"/>
      <c r="C289" s="2"/>
      <c r="D289" s="2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>
      <c r="A290" s="2"/>
      <c r="B290" s="2"/>
      <c r="C290" s="2"/>
      <c r="D290" s="2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>
      <c r="A291" s="2"/>
      <c r="B291" s="2"/>
      <c r="C291" s="2"/>
      <c r="D291" s="2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>
      <c r="A292" s="2"/>
      <c r="B292" s="2"/>
      <c r="C292" s="2"/>
      <c r="D292" s="2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>
      <c r="A293" s="2"/>
      <c r="B293" s="2"/>
      <c r="C293" s="2"/>
      <c r="D293" s="2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>
      <c r="A294" s="2"/>
      <c r="B294" s="2"/>
      <c r="C294" s="2"/>
      <c r="D294" s="2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>
      <c r="A295" s="2"/>
      <c r="B295" s="2"/>
      <c r="C295" s="2"/>
      <c r="D295" s="2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>
      <c r="A296" s="2"/>
      <c r="B296" s="2"/>
      <c r="C296" s="2"/>
      <c r="D296" s="2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>
      <c r="A297" s="2"/>
      <c r="B297" s="2"/>
      <c r="C297" s="2"/>
      <c r="D297" s="2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>
      <c r="A298" s="2"/>
      <c r="B298" s="2"/>
      <c r="C298" s="2"/>
      <c r="D298" s="2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>
      <c r="A299" s="2"/>
      <c r="B299" s="2"/>
      <c r="C299" s="2"/>
      <c r="D299" s="2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>
      <c r="A300" s="2"/>
      <c r="B300" s="2"/>
      <c r="C300" s="2"/>
      <c r="D300" s="2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>
      <c r="A301" s="2"/>
      <c r="B301" s="2"/>
      <c r="C301" s="2"/>
      <c r="D301" s="2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>
      <c r="A302" s="2"/>
      <c r="B302" s="2"/>
      <c r="C302" s="2"/>
      <c r="D302" s="2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>
      <c r="A303" s="2"/>
      <c r="B303" s="2"/>
      <c r="C303" s="2"/>
      <c r="D303" s="2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>
      <c r="A304" s="2"/>
      <c r="B304" s="2"/>
      <c r="C304" s="2"/>
      <c r="D304" s="2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>
      <c r="A305" s="2"/>
      <c r="B305" s="2"/>
      <c r="C305" s="2"/>
      <c r="D305" s="2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>
      <c r="A306" s="2"/>
      <c r="B306" s="2"/>
      <c r="C306" s="2"/>
      <c r="D306" s="2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>
      <c r="A307" s="2"/>
      <c r="B307" s="2"/>
      <c r="C307" s="2"/>
      <c r="D307" s="2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>
      <c r="A308" s="2"/>
      <c r="B308" s="2"/>
      <c r="C308" s="2"/>
      <c r="D308" s="2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>
      <c r="A309" s="2"/>
      <c r="B309" s="2"/>
      <c r="C309" s="2"/>
      <c r="D309" s="2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>
      <c r="A310" s="2"/>
      <c r="B310" s="2"/>
      <c r="C310" s="2"/>
      <c r="D310" s="2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>
      <c r="A311" s="2"/>
      <c r="B311" s="2"/>
      <c r="C311" s="2"/>
      <c r="D311" s="2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>
      <c r="A312" s="2"/>
      <c r="B312" s="2"/>
      <c r="C312" s="2"/>
      <c r="D312" s="2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>
      <c r="A313" s="2"/>
      <c r="B313" s="2"/>
      <c r="C313" s="2"/>
      <c r="D313" s="2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>
      <c r="A314" s="2"/>
      <c r="B314" s="2"/>
      <c r="C314" s="2"/>
      <c r="D314" s="2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>
      <c r="A315" s="2"/>
      <c r="B315" s="2"/>
      <c r="C315" s="2"/>
      <c r="D315" s="2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>
      <c r="A316" s="2"/>
      <c r="B316" s="2"/>
      <c r="C316" s="2"/>
      <c r="D316" s="2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>
      <c r="A317" s="2"/>
      <c r="B317" s="2"/>
      <c r="C317" s="2"/>
      <c r="D317" s="2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>
      <c r="A318" s="2"/>
      <c r="B318" s="2"/>
      <c r="C318" s="2"/>
      <c r="D318" s="2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>
      <c r="A319" s="2"/>
      <c r="B319" s="2"/>
      <c r="C319" s="2"/>
      <c r="D319" s="2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>
      <c r="A320" s="2"/>
      <c r="B320" s="2"/>
      <c r="C320" s="2"/>
      <c r="D320" s="2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>
      <c r="A321" s="2"/>
      <c r="B321" s="2"/>
      <c r="C321" s="2"/>
      <c r="D321" s="2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>
      <c r="A322" s="2"/>
      <c r="B322" s="2"/>
      <c r="C322" s="2"/>
      <c r="D322" s="2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>
      <c r="A323" s="2"/>
      <c r="B323" s="2"/>
      <c r="C323" s="2"/>
      <c r="D323" s="2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>
      <c r="A324" s="2"/>
      <c r="B324" s="2"/>
      <c r="C324" s="2"/>
      <c r="D324" s="2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>
      <c r="A325" s="2"/>
      <c r="B325" s="2"/>
      <c r="C325" s="2"/>
      <c r="D325" s="2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>
      <c r="A326" s="2"/>
      <c r="B326" s="2"/>
      <c r="C326" s="2"/>
      <c r="D326" s="2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2"/>
      <c r="B327" s="2"/>
      <c r="C327" s="2"/>
      <c r="D327" s="2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2"/>
      <c r="B328" s="2"/>
      <c r="C328" s="2"/>
      <c r="D328" s="2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2"/>
      <c r="B329" s="2"/>
      <c r="C329" s="2"/>
      <c r="D329" s="2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2"/>
      <c r="B330" s="2"/>
      <c r="C330" s="2"/>
      <c r="D330" s="2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2"/>
      <c r="B331" s="2"/>
      <c r="C331" s="2"/>
      <c r="D331" s="2"/>
      <c r="E331" s="3"/>
      <c r="F331" s="3"/>
      <c r="G331" s="3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2"/>
      <c r="B332" s="2"/>
      <c r="C332" s="2"/>
      <c r="D332" s="2"/>
      <c r="E332" s="3"/>
      <c r="F332" s="3"/>
      <c r="G332" s="3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2"/>
      <c r="B333" s="2"/>
      <c r="C333" s="2"/>
      <c r="D333" s="2"/>
      <c r="E333" s="3"/>
      <c r="F333" s="3"/>
      <c r="G333" s="3"/>
      <c r="H333" s="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2"/>
      <c r="B334" s="2"/>
      <c r="C334" s="2"/>
      <c r="D334" s="2"/>
      <c r="E334" s="3"/>
      <c r="F334" s="3"/>
      <c r="G334" s="3"/>
      <c r="H334" s="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2"/>
      <c r="B335" s="2"/>
      <c r="C335" s="2"/>
      <c r="D335" s="2"/>
      <c r="E335" s="3"/>
      <c r="F335" s="3"/>
      <c r="G335" s="3"/>
      <c r="H335" s="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2"/>
      <c r="B336" s="2"/>
      <c r="C336" s="2"/>
      <c r="D336" s="2"/>
      <c r="E336" s="3"/>
      <c r="F336" s="3"/>
      <c r="G336" s="3"/>
      <c r="H336" s="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2"/>
      <c r="B337" s="2"/>
      <c r="C337" s="2"/>
      <c r="D337" s="2"/>
      <c r="E337" s="3"/>
      <c r="F337" s="3"/>
      <c r="G337" s="3"/>
      <c r="H337" s="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2"/>
      <c r="B338" s="2"/>
      <c r="C338" s="2"/>
      <c r="D338" s="2"/>
      <c r="E338" s="3"/>
      <c r="F338" s="3"/>
      <c r="G338" s="3"/>
      <c r="H338" s="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2"/>
      <c r="B339" s="2"/>
      <c r="C339" s="2"/>
      <c r="D339" s="2"/>
      <c r="E339" s="3"/>
      <c r="F339" s="3"/>
      <c r="G339" s="3"/>
      <c r="H339" s="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2"/>
      <c r="B340" s="2"/>
      <c r="C340" s="2"/>
      <c r="D340" s="2"/>
      <c r="E340" s="3"/>
      <c r="F340" s="3"/>
      <c r="G340" s="3"/>
      <c r="H340" s="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2"/>
      <c r="B341" s="2"/>
      <c r="C341" s="2"/>
      <c r="D341" s="2"/>
      <c r="E341" s="3"/>
      <c r="F341" s="3"/>
      <c r="G341" s="3"/>
      <c r="H341" s="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2"/>
      <c r="B342" s="2"/>
      <c r="C342" s="2"/>
      <c r="D342" s="2"/>
      <c r="E342" s="3"/>
      <c r="F342" s="3"/>
      <c r="G342" s="3"/>
      <c r="H342" s="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>
      <c r="A343" s="2"/>
      <c r="B343" s="2"/>
      <c r="C343" s="2"/>
      <c r="D343" s="2"/>
      <c r="E343" s="3"/>
      <c r="F343" s="3"/>
      <c r="G343" s="3"/>
      <c r="H343" s="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>
      <c r="A344" s="2"/>
      <c r="B344" s="2"/>
      <c r="C344" s="2"/>
      <c r="D344" s="2"/>
      <c r="E344" s="3"/>
      <c r="F344" s="3"/>
      <c r="G344" s="3"/>
      <c r="H344" s="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>
      <c r="A345" s="2"/>
      <c r="B345" s="2"/>
      <c r="C345" s="2"/>
      <c r="D345" s="2"/>
      <c r="E345" s="3"/>
      <c r="F345" s="3"/>
      <c r="G345" s="3"/>
      <c r="H345" s="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>
      <c r="A346" s="2"/>
      <c r="B346" s="2"/>
      <c r="C346" s="2"/>
      <c r="D346" s="2"/>
      <c r="E346" s="3"/>
      <c r="F346" s="3"/>
      <c r="G346" s="3"/>
      <c r="H346" s="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>
      <c r="A347" s="2"/>
      <c r="B347" s="2"/>
      <c r="C347" s="2"/>
      <c r="D347" s="2"/>
      <c r="E347" s="3"/>
      <c r="F347" s="3"/>
      <c r="G347" s="3"/>
      <c r="H347" s="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>
      <c r="A348" s="2"/>
      <c r="B348" s="2"/>
      <c r="C348" s="2"/>
      <c r="D348" s="2"/>
      <c r="E348" s="3"/>
      <c r="F348" s="3"/>
      <c r="G348" s="3"/>
      <c r="H348" s="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>
      <c r="A349" s="2"/>
      <c r="B349" s="2"/>
      <c r="C349" s="2"/>
      <c r="D349" s="2"/>
      <c r="E349" s="3"/>
      <c r="F349" s="3"/>
      <c r="G349" s="3"/>
      <c r="H349" s="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>
      <c r="A350" s="2"/>
      <c r="B350" s="2"/>
      <c r="C350" s="2"/>
      <c r="D350" s="2"/>
      <c r="E350" s="3"/>
      <c r="F350" s="3"/>
      <c r="G350" s="3"/>
      <c r="H350" s="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>
      <c r="A351" s="2"/>
      <c r="B351" s="2"/>
      <c r="C351" s="2"/>
      <c r="D351" s="2"/>
      <c r="E351" s="3"/>
      <c r="F351" s="3"/>
      <c r="G351" s="3"/>
      <c r="H351" s="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>
      <c r="A352" s="2"/>
      <c r="B352" s="2"/>
      <c r="C352" s="2"/>
      <c r="D352" s="2"/>
      <c r="E352" s="3"/>
      <c r="F352" s="3"/>
      <c r="G352" s="3"/>
      <c r="H352" s="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>
      <c r="A353" s="2"/>
      <c r="B353" s="2"/>
      <c r="C353" s="2"/>
      <c r="D353" s="2"/>
      <c r="E353" s="3"/>
      <c r="F353" s="3"/>
      <c r="G353" s="3"/>
      <c r="H353" s="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>
      <c r="A354" s="2"/>
      <c r="B354" s="2"/>
      <c r="C354" s="2"/>
      <c r="D354" s="2"/>
      <c r="E354" s="3"/>
      <c r="F354" s="3"/>
      <c r="G354" s="3"/>
      <c r="H354" s="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>
      <c r="A355" s="2"/>
      <c r="B355" s="2"/>
      <c r="C355" s="2"/>
      <c r="D355" s="2"/>
      <c r="E355" s="3"/>
      <c r="F355" s="3"/>
      <c r="G355" s="3"/>
      <c r="H355" s="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>
      <c r="A356" s="2"/>
      <c r="B356" s="2"/>
      <c r="C356" s="2"/>
      <c r="D356" s="2"/>
      <c r="E356" s="3"/>
      <c r="F356" s="3"/>
      <c r="G356" s="3"/>
      <c r="H356" s="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>
      <c r="A357" s="2"/>
      <c r="B357" s="2"/>
      <c r="C357" s="2"/>
      <c r="D357" s="2"/>
      <c r="E357" s="3"/>
      <c r="F357" s="3"/>
      <c r="G357" s="3"/>
      <c r="H357" s="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>
      <c r="A358" s="2"/>
      <c r="B358" s="2"/>
      <c r="C358" s="2"/>
      <c r="D358" s="2"/>
      <c r="E358" s="3"/>
      <c r="F358" s="3"/>
      <c r="G358" s="3"/>
      <c r="H358" s="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>
      <c r="A359" s="2"/>
      <c r="B359" s="2"/>
      <c r="C359" s="2"/>
      <c r="D359" s="2"/>
      <c r="E359" s="3"/>
      <c r="F359" s="3"/>
      <c r="G359" s="3"/>
      <c r="H359" s="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>
      <c r="A360" s="2"/>
      <c r="B360" s="2"/>
      <c r="C360" s="2"/>
      <c r="D360" s="2"/>
      <c r="E360" s="3"/>
      <c r="F360" s="3"/>
      <c r="G360" s="3"/>
      <c r="H360" s="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>
      <c r="A361" s="2"/>
      <c r="B361" s="2"/>
      <c r="C361" s="2"/>
      <c r="D361" s="2"/>
      <c r="E361" s="3"/>
      <c r="F361" s="3"/>
      <c r="G361" s="3"/>
      <c r="H361" s="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>
      <c r="A362" s="2"/>
      <c r="B362" s="2"/>
      <c r="C362" s="2"/>
      <c r="D362" s="2"/>
      <c r="E362" s="3"/>
      <c r="F362" s="3"/>
      <c r="G362" s="3"/>
      <c r="H362" s="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>
      <c r="A363" s="2"/>
      <c r="B363" s="2"/>
      <c r="C363" s="2"/>
      <c r="D363" s="2"/>
      <c r="E363" s="3"/>
      <c r="F363" s="3"/>
      <c r="G363" s="3"/>
      <c r="H363" s="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>
      <c r="A364" s="2"/>
      <c r="B364" s="2"/>
      <c r="C364" s="2"/>
      <c r="D364" s="2"/>
      <c r="E364" s="3"/>
      <c r="F364" s="3"/>
      <c r="G364" s="3"/>
      <c r="H364" s="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>
      <c r="A365" s="2"/>
      <c r="B365" s="2"/>
      <c r="C365" s="2"/>
      <c r="D365" s="2"/>
      <c r="E365" s="3"/>
      <c r="F365" s="3"/>
      <c r="G365" s="3"/>
      <c r="H365" s="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>
      <c r="A366" s="2"/>
      <c r="B366" s="2"/>
      <c r="C366" s="2"/>
      <c r="D366" s="2"/>
      <c r="E366" s="3"/>
      <c r="F366" s="3"/>
      <c r="G366" s="3"/>
      <c r="H366" s="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>
      <c r="A367" s="2"/>
      <c r="B367" s="2"/>
      <c r="C367" s="2"/>
      <c r="D367" s="2"/>
      <c r="E367" s="3"/>
      <c r="F367" s="3"/>
      <c r="G367" s="3"/>
      <c r="H367" s="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>
      <c r="A368" s="2"/>
      <c r="B368" s="2"/>
      <c r="C368" s="2"/>
      <c r="D368" s="2"/>
      <c r="E368" s="3"/>
      <c r="F368" s="3"/>
      <c r="G368" s="3"/>
      <c r="H368" s="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>
      <c r="A369" s="2"/>
      <c r="B369" s="2"/>
      <c r="C369" s="2"/>
      <c r="D369" s="2"/>
      <c r="E369" s="3"/>
      <c r="F369" s="3"/>
      <c r="G369" s="3"/>
      <c r="H369" s="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>
      <c r="A370" s="2"/>
      <c r="B370" s="2"/>
      <c r="C370" s="2"/>
      <c r="D370" s="2"/>
      <c r="E370" s="3"/>
      <c r="F370" s="3"/>
      <c r="G370" s="3"/>
      <c r="H370" s="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>
      <c r="A371" s="2"/>
      <c r="B371" s="2"/>
      <c r="C371" s="2"/>
      <c r="D371" s="2"/>
      <c r="E371" s="3"/>
      <c r="F371" s="3"/>
      <c r="G371" s="3"/>
      <c r="H371" s="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>
      <c r="A372" s="2"/>
      <c r="B372" s="2"/>
      <c r="C372" s="2"/>
      <c r="D372" s="2"/>
      <c r="E372" s="3"/>
      <c r="F372" s="3"/>
      <c r="G372" s="3"/>
      <c r="H372" s="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>
      <c r="A373" s="2"/>
      <c r="B373" s="2"/>
      <c r="C373" s="2"/>
      <c r="D373" s="2"/>
      <c r="E373" s="3"/>
      <c r="F373" s="3"/>
      <c r="G373" s="3"/>
      <c r="H373" s="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>
      <c r="A374" s="2"/>
      <c r="B374" s="2"/>
      <c r="C374" s="2"/>
      <c r="D374" s="2"/>
      <c r="E374" s="3"/>
      <c r="F374" s="3"/>
      <c r="G374" s="3"/>
      <c r="H374" s="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>
      <c r="A375" s="2"/>
      <c r="B375" s="2"/>
      <c r="C375" s="2"/>
      <c r="D375" s="2"/>
      <c r="E375" s="3"/>
      <c r="F375" s="3"/>
      <c r="G375" s="3"/>
      <c r="H375" s="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>
      <c r="A376" s="2"/>
      <c r="B376" s="2"/>
      <c r="C376" s="2"/>
      <c r="D376" s="2"/>
      <c r="E376" s="3"/>
      <c r="F376" s="3"/>
      <c r="G376" s="3"/>
      <c r="H376" s="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>
      <c r="A377" s="2"/>
      <c r="B377" s="2"/>
      <c r="C377" s="2"/>
      <c r="D377" s="2"/>
      <c r="E377" s="3"/>
      <c r="F377" s="3"/>
      <c r="G377" s="3"/>
      <c r="H377" s="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>
      <c r="A378" s="2"/>
      <c r="B378" s="2"/>
      <c r="C378" s="2"/>
      <c r="D378" s="2"/>
      <c r="E378" s="3"/>
      <c r="F378" s="3"/>
      <c r="G378" s="3"/>
      <c r="H378" s="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>
      <c r="A379" s="2"/>
      <c r="B379" s="2"/>
      <c r="C379" s="2"/>
      <c r="D379" s="2"/>
      <c r="E379" s="3"/>
      <c r="F379" s="3"/>
      <c r="G379" s="3"/>
      <c r="H379" s="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>
      <c r="A380" s="2"/>
      <c r="B380" s="2"/>
      <c r="C380" s="2"/>
      <c r="D380" s="2"/>
      <c r="E380" s="3"/>
      <c r="F380" s="3"/>
      <c r="G380" s="3"/>
      <c r="H380" s="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>
      <c r="A381" s="2"/>
      <c r="B381" s="2"/>
      <c r="C381" s="2"/>
      <c r="D381" s="2"/>
      <c r="E381" s="3"/>
      <c r="F381" s="3"/>
      <c r="G381" s="3"/>
      <c r="H381" s="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>
      <c r="A382" s="2"/>
      <c r="B382" s="2"/>
      <c r="C382" s="2"/>
      <c r="D382" s="2"/>
      <c r="E382" s="3"/>
      <c r="F382" s="3"/>
      <c r="G382" s="3"/>
      <c r="H382" s="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>
      <c r="A383" s="2"/>
      <c r="B383" s="2"/>
      <c r="C383" s="2"/>
      <c r="D383" s="2"/>
      <c r="E383" s="3"/>
      <c r="F383" s="3"/>
      <c r="G383" s="3"/>
      <c r="H383" s="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>
      <c r="A384" s="2"/>
      <c r="B384" s="2"/>
      <c r="C384" s="2"/>
      <c r="D384" s="2"/>
      <c r="E384" s="3"/>
      <c r="F384" s="3"/>
      <c r="G384" s="3"/>
      <c r="H384" s="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>
      <c r="A385" s="2"/>
      <c r="B385" s="2"/>
      <c r="C385" s="2"/>
      <c r="D385" s="2"/>
      <c r="E385" s="3"/>
      <c r="F385" s="3"/>
      <c r="G385" s="3"/>
      <c r="H385" s="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>
      <c r="A386" s="2"/>
      <c r="B386" s="2"/>
      <c r="C386" s="2"/>
      <c r="D386" s="2"/>
      <c r="E386" s="3"/>
      <c r="F386" s="3"/>
      <c r="G386" s="3"/>
      <c r="H386" s="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>
      <c r="A387" s="2"/>
      <c r="B387" s="2"/>
      <c r="C387" s="2"/>
      <c r="D387" s="2"/>
      <c r="E387" s="3"/>
      <c r="F387" s="3"/>
      <c r="G387" s="3"/>
      <c r="H387" s="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>
      <c r="A388" s="2"/>
      <c r="B388" s="2"/>
      <c r="C388" s="2"/>
      <c r="D388" s="2"/>
      <c r="E388" s="3"/>
      <c r="F388" s="3"/>
      <c r="G388" s="3"/>
      <c r="H388" s="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>
      <c r="A389" s="2"/>
      <c r="B389" s="2"/>
      <c r="C389" s="2"/>
      <c r="D389" s="2"/>
      <c r="E389" s="3"/>
      <c r="F389" s="3"/>
      <c r="G389" s="3"/>
      <c r="H389" s="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>
      <c r="A390" s="2"/>
      <c r="B390" s="2"/>
      <c r="C390" s="2"/>
      <c r="D390" s="2"/>
      <c r="E390" s="3"/>
      <c r="F390" s="3"/>
      <c r="G390" s="3"/>
      <c r="H390" s="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>
      <c r="A391" s="2"/>
      <c r="B391" s="2"/>
      <c r="C391" s="2"/>
      <c r="D391" s="2"/>
      <c r="E391" s="3"/>
      <c r="F391" s="3"/>
      <c r="G391" s="3"/>
      <c r="H391" s="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>
      <c r="A392" s="2"/>
      <c r="B392" s="2"/>
      <c r="C392" s="2"/>
      <c r="D392" s="2"/>
      <c r="E392" s="3"/>
      <c r="F392" s="3"/>
      <c r="G392" s="3"/>
      <c r="H392" s="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>
      <c r="A393" s="2"/>
      <c r="B393" s="2"/>
      <c r="C393" s="2"/>
      <c r="D393" s="2"/>
      <c r="E393" s="3"/>
      <c r="F393" s="3"/>
      <c r="G393" s="3"/>
      <c r="H393" s="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>
      <c r="A394" s="2"/>
      <c r="B394" s="2"/>
      <c r="C394" s="2"/>
      <c r="D394" s="2"/>
      <c r="E394" s="3"/>
      <c r="F394" s="3"/>
      <c r="G394" s="3"/>
      <c r="H394" s="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>
      <c r="A395" s="2"/>
      <c r="B395" s="2"/>
      <c r="C395" s="2"/>
      <c r="D395" s="2"/>
      <c r="E395" s="3"/>
      <c r="F395" s="3"/>
      <c r="G395" s="3"/>
      <c r="H395" s="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>
      <c r="A396" s="2"/>
      <c r="B396" s="2"/>
      <c r="C396" s="2"/>
      <c r="D396" s="2"/>
      <c r="E396" s="3"/>
      <c r="F396" s="3"/>
      <c r="G396" s="3"/>
      <c r="H396" s="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>
      <c r="A397" s="2"/>
      <c r="B397" s="2"/>
      <c r="C397" s="2"/>
      <c r="D397" s="2"/>
      <c r="E397" s="3"/>
      <c r="F397" s="3"/>
      <c r="G397" s="3"/>
      <c r="H397" s="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>
      <c r="A398" s="2"/>
      <c r="B398" s="2"/>
      <c r="C398" s="2"/>
      <c r="D398" s="2"/>
      <c r="E398" s="3"/>
      <c r="F398" s="3"/>
      <c r="G398" s="3"/>
      <c r="H398" s="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>
      <c r="A399" s="2"/>
      <c r="B399" s="2"/>
      <c r="C399" s="2"/>
      <c r="D399" s="2"/>
      <c r="E399" s="3"/>
      <c r="F399" s="3"/>
      <c r="G399" s="3"/>
      <c r="H399" s="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>
      <c r="A400" s="2"/>
      <c r="B400" s="2"/>
      <c r="C400" s="2"/>
      <c r="D400" s="2"/>
      <c r="E400" s="3"/>
      <c r="F400" s="3"/>
      <c r="G400" s="3"/>
      <c r="H400" s="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>
      <c r="A401" s="2"/>
      <c r="B401" s="2"/>
      <c r="C401" s="2"/>
      <c r="D401" s="2"/>
      <c r="E401" s="3"/>
      <c r="F401" s="3"/>
      <c r="G401" s="3"/>
      <c r="H401" s="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>
      <c r="A402" s="2"/>
      <c r="B402" s="2"/>
      <c r="C402" s="2"/>
      <c r="D402" s="2"/>
      <c r="E402" s="3"/>
      <c r="F402" s="3"/>
      <c r="G402" s="3"/>
      <c r="H402" s="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>
      <c r="A403" s="2"/>
      <c r="B403" s="2"/>
      <c r="C403" s="2"/>
      <c r="D403" s="2"/>
      <c r="E403" s="3"/>
      <c r="F403" s="3"/>
      <c r="G403" s="3"/>
      <c r="H403" s="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>
      <c r="A404" s="2"/>
      <c r="B404" s="2"/>
      <c r="C404" s="2"/>
      <c r="D404" s="2"/>
      <c r="E404" s="3"/>
      <c r="F404" s="3"/>
      <c r="G404" s="3"/>
      <c r="H404" s="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>
      <c r="A405" s="2"/>
      <c r="B405" s="2"/>
      <c r="C405" s="2"/>
      <c r="D405" s="2"/>
      <c r="E405" s="3"/>
      <c r="F405" s="3"/>
      <c r="G405" s="3"/>
      <c r="H405" s="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>
      <c r="A406" s="2"/>
      <c r="B406" s="2"/>
      <c r="C406" s="2"/>
      <c r="D406" s="2"/>
      <c r="E406" s="3"/>
      <c r="F406" s="3"/>
      <c r="G406" s="3"/>
      <c r="H406" s="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>
      <c r="A407" s="2"/>
      <c r="B407" s="2"/>
      <c r="C407" s="2"/>
      <c r="D407" s="2"/>
      <c r="E407" s="3"/>
      <c r="F407" s="3"/>
      <c r="G407" s="3"/>
      <c r="H407" s="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>
      <c r="A408" s="2"/>
      <c r="B408" s="2"/>
      <c r="C408" s="2"/>
      <c r="D408" s="2"/>
      <c r="E408" s="3"/>
      <c r="F408" s="3"/>
      <c r="G408" s="3"/>
      <c r="H408" s="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>
      <c r="A409" s="2"/>
      <c r="B409" s="2"/>
      <c r="C409" s="2"/>
      <c r="D409" s="2"/>
      <c r="E409" s="3"/>
      <c r="F409" s="3"/>
      <c r="G409" s="3"/>
      <c r="H409" s="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>
      <c r="A410" s="2"/>
      <c r="B410" s="2"/>
      <c r="C410" s="2"/>
      <c r="D410" s="2"/>
      <c r="E410" s="3"/>
      <c r="F410" s="3"/>
      <c r="G410" s="3"/>
      <c r="H410" s="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>
      <c r="A411" s="2"/>
      <c r="B411" s="2"/>
      <c r="C411" s="2"/>
      <c r="D411" s="2"/>
      <c r="E411" s="3"/>
      <c r="F411" s="3"/>
      <c r="G411" s="3"/>
      <c r="H411" s="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>
      <c r="A412" s="2"/>
      <c r="B412" s="2"/>
      <c r="C412" s="2"/>
      <c r="D412" s="2"/>
      <c r="E412" s="3"/>
      <c r="F412" s="3"/>
      <c r="G412" s="3"/>
      <c r="H412" s="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>
      <c r="A413" s="2"/>
      <c r="B413" s="2"/>
      <c r="C413" s="2"/>
      <c r="D413" s="2"/>
      <c r="E413" s="3"/>
      <c r="F413" s="3"/>
      <c r="G413" s="3"/>
      <c r="H413" s="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>
      <c r="A414" s="2"/>
      <c r="B414" s="2"/>
      <c r="C414" s="2"/>
      <c r="D414" s="2"/>
      <c r="E414" s="3"/>
      <c r="F414" s="3"/>
      <c r="G414" s="3"/>
      <c r="H414" s="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>
      <c r="A415" s="2"/>
      <c r="B415" s="2"/>
      <c r="C415" s="2"/>
      <c r="D415" s="2"/>
      <c r="E415" s="3"/>
      <c r="F415" s="3"/>
      <c r="G415" s="3"/>
      <c r="H415" s="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>
      <c r="A416" s="2"/>
      <c r="B416" s="2"/>
      <c r="C416" s="2"/>
      <c r="D416" s="2"/>
      <c r="E416" s="3"/>
      <c r="F416" s="3"/>
      <c r="G416" s="3"/>
      <c r="H416" s="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>
      <c r="A417" s="2"/>
      <c r="B417" s="2"/>
      <c r="C417" s="2"/>
      <c r="D417" s="2"/>
      <c r="E417" s="3"/>
      <c r="F417" s="3"/>
      <c r="G417" s="3"/>
      <c r="H417" s="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>
      <c r="A418" s="2"/>
      <c r="B418" s="2"/>
      <c r="C418" s="2"/>
      <c r="D418" s="2"/>
      <c r="E418" s="3"/>
      <c r="F418" s="3"/>
      <c r="G418" s="3"/>
      <c r="H418" s="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>
      <c r="A419" s="2"/>
      <c r="B419" s="2"/>
      <c r="C419" s="2"/>
      <c r="D419" s="2"/>
      <c r="E419" s="3"/>
      <c r="F419" s="3"/>
      <c r="G419" s="3"/>
      <c r="H419" s="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>
      <c r="A420" s="2"/>
      <c r="B420" s="2"/>
      <c r="C420" s="2"/>
      <c r="D420" s="2"/>
      <c r="E420" s="3"/>
      <c r="F420" s="3"/>
      <c r="G420" s="3"/>
      <c r="H420" s="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>
      <c r="A421" s="2"/>
      <c r="B421" s="2"/>
      <c r="C421" s="2"/>
      <c r="D421" s="2"/>
      <c r="E421" s="3"/>
      <c r="F421" s="3"/>
      <c r="G421" s="3"/>
      <c r="H421" s="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>
      <c r="A422" s="2"/>
      <c r="B422" s="2"/>
      <c r="C422" s="2"/>
      <c r="D422" s="2"/>
      <c r="E422" s="3"/>
      <c r="F422" s="3"/>
      <c r="G422" s="3"/>
      <c r="H422" s="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>
      <c r="A423" s="2"/>
      <c r="B423" s="2"/>
      <c r="C423" s="2"/>
      <c r="D423" s="2"/>
      <c r="E423" s="3"/>
      <c r="F423" s="3"/>
      <c r="G423" s="3"/>
      <c r="H423" s="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>
      <c r="A424" s="2"/>
      <c r="B424" s="2"/>
      <c r="C424" s="2"/>
      <c r="D424" s="2"/>
      <c r="E424" s="3"/>
      <c r="F424" s="3"/>
      <c r="G424" s="3"/>
      <c r="H424" s="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>
      <c r="A425" s="2"/>
      <c r="B425" s="2"/>
      <c r="C425" s="2"/>
      <c r="D425" s="2"/>
      <c r="E425" s="3"/>
      <c r="F425" s="3"/>
      <c r="G425" s="3"/>
      <c r="H425" s="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>
      <c r="A426" s="2"/>
      <c r="B426" s="2"/>
      <c r="C426" s="2"/>
      <c r="D426" s="2"/>
      <c r="E426" s="3"/>
      <c r="F426" s="3"/>
      <c r="G426" s="3"/>
      <c r="H426" s="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>
      <c r="A427" s="2"/>
      <c r="B427" s="2"/>
      <c r="C427" s="2"/>
      <c r="D427" s="2"/>
      <c r="E427" s="3"/>
      <c r="F427" s="3"/>
      <c r="G427" s="3"/>
      <c r="H427" s="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>
      <c r="A428" s="2"/>
      <c r="B428" s="2"/>
      <c r="C428" s="2"/>
      <c r="D428" s="2"/>
      <c r="E428" s="3"/>
      <c r="F428" s="3"/>
      <c r="G428" s="3"/>
      <c r="H428" s="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>
      <c r="A429" s="2"/>
      <c r="B429" s="2"/>
      <c r="C429" s="2"/>
      <c r="D429" s="2"/>
      <c r="E429" s="3"/>
      <c r="F429" s="3"/>
      <c r="G429" s="3"/>
      <c r="H429" s="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>
      <c r="A430" s="2"/>
      <c r="B430" s="2"/>
      <c r="C430" s="2"/>
      <c r="D430" s="2"/>
      <c r="E430" s="3"/>
      <c r="F430" s="3"/>
      <c r="G430" s="3"/>
      <c r="H430" s="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>
      <c r="A431" s="2"/>
      <c r="B431" s="2"/>
      <c r="C431" s="2"/>
      <c r="D431" s="2"/>
      <c r="E431" s="3"/>
      <c r="F431" s="3"/>
      <c r="G431" s="3"/>
      <c r="H431" s="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>
      <c r="A432" s="2"/>
      <c r="B432" s="2"/>
      <c r="C432" s="2"/>
      <c r="D432" s="2"/>
      <c r="E432" s="3"/>
      <c r="F432" s="3"/>
      <c r="G432" s="3"/>
      <c r="H432" s="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>
      <c r="A433" s="2"/>
      <c r="B433" s="2"/>
      <c r="C433" s="2"/>
      <c r="D433" s="2"/>
      <c r="E433" s="3"/>
      <c r="F433" s="3"/>
      <c r="G433" s="3"/>
      <c r="H433" s="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>
      <c r="A434" s="2"/>
      <c r="B434" s="2"/>
      <c r="C434" s="2"/>
      <c r="D434" s="2"/>
      <c r="E434" s="3"/>
      <c r="F434" s="3"/>
      <c r="G434" s="3"/>
      <c r="H434" s="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>
      <c r="A435" s="2"/>
      <c r="B435" s="2"/>
      <c r="C435" s="2"/>
      <c r="D435" s="2"/>
      <c r="E435" s="3"/>
      <c r="F435" s="3"/>
      <c r="G435" s="3"/>
      <c r="H435" s="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>
      <c r="A436" s="2"/>
      <c r="B436" s="2"/>
      <c r="C436" s="2"/>
      <c r="D436" s="2"/>
      <c r="E436" s="3"/>
      <c r="F436" s="3"/>
      <c r="G436" s="3"/>
      <c r="H436" s="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>
      <c r="A437" s="2"/>
      <c r="B437" s="2"/>
      <c r="C437" s="2"/>
      <c r="D437" s="2"/>
      <c r="E437" s="3"/>
      <c r="F437" s="3"/>
      <c r="G437" s="3"/>
      <c r="H437" s="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>
      <c r="A438" s="2"/>
      <c r="B438" s="2"/>
      <c r="C438" s="2"/>
      <c r="D438" s="2"/>
      <c r="E438" s="3"/>
      <c r="F438" s="3"/>
      <c r="G438" s="3"/>
      <c r="H438" s="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>
      <c r="A439" s="2"/>
      <c r="B439" s="2"/>
      <c r="C439" s="2"/>
      <c r="D439" s="2"/>
      <c r="E439" s="3"/>
      <c r="F439" s="3"/>
      <c r="G439" s="3"/>
      <c r="H439" s="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>
      <c r="A440" s="2"/>
      <c r="B440" s="2"/>
      <c r="C440" s="2"/>
      <c r="D440" s="2"/>
      <c r="E440" s="3"/>
      <c r="F440" s="3"/>
      <c r="G440" s="3"/>
      <c r="H440" s="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>
      <c r="A441" s="2"/>
      <c r="B441" s="2"/>
      <c r="C441" s="2"/>
      <c r="D441" s="2"/>
      <c r="E441" s="3"/>
      <c r="F441" s="3"/>
      <c r="G441" s="3"/>
      <c r="H441" s="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>
      <c r="A442" s="2"/>
      <c r="B442" s="2"/>
      <c r="C442" s="2"/>
      <c r="D442" s="2"/>
      <c r="E442" s="3"/>
      <c r="F442" s="3"/>
      <c r="G442" s="3"/>
      <c r="H442" s="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>
      <c r="A443" s="2"/>
      <c r="B443" s="2"/>
      <c r="C443" s="2"/>
      <c r="D443" s="2"/>
      <c r="E443" s="3"/>
      <c r="F443" s="3"/>
      <c r="G443" s="3"/>
      <c r="H443" s="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>
      <c r="A444" s="2"/>
      <c r="B444" s="2"/>
      <c r="C444" s="2"/>
      <c r="D444" s="2"/>
      <c r="E444" s="3"/>
      <c r="F444" s="3"/>
      <c r="G444" s="3"/>
      <c r="H444" s="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>
      <c r="A445" s="2"/>
      <c r="B445" s="2"/>
      <c r="C445" s="2"/>
      <c r="D445" s="2"/>
      <c r="E445" s="3"/>
      <c r="F445" s="3"/>
      <c r="G445" s="3"/>
      <c r="H445" s="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>
      <c r="A446" s="2"/>
      <c r="B446" s="2"/>
      <c r="C446" s="2"/>
      <c r="D446" s="2"/>
      <c r="E446" s="3"/>
      <c r="F446" s="3"/>
      <c r="G446" s="3"/>
      <c r="H446" s="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>
      <c r="A447" s="2"/>
      <c r="B447" s="2"/>
      <c r="C447" s="2"/>
      <c r="D447" s="2"/>
      <c r="E447" s="3"/>
      <c r="F447" s="3"/>
      <c r="G447" s="3"/>
      <c r="H447" s="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>
      <c r="A448" s="2"/>
      <c r="B448" s="2"/>
      <c r="C448" s="2"/>
      <c r="D448" s="2"/>
      <c r="E448" s="3"/>
      <c r="F448" s="3"/>
      <c r="G448" s="3"/>
      <c r="H448" s="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>
      <c r="A449" s="2"/>
      <c r="B449" s="2"/>
      <c r="C449" s="2"/>
      <c r="D449" s="2"/>
      <c r="E449" s="3"/>
      <c r="F449" s="3"/>
      <c r="G449" s="3"/>
      <c r="H449" s="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>
      <c r="A450" s="2"/>
      <c r="B450" s="2"/>
      <c r="C450" s="2"/>
      <c r="D450" s="2"/>
      <c r="E450" s="3"/>
      <c r="F450" s="3"/>
      <c r="G450" s="3"/>
      <c r="H450" s="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>
      <c r="A451" s="2"/>
      <c r="B451" s="2"/>
      <c r="C451" s="2"/>
      <c r="D451" s="2"/>
      <c r="E451" s="3"/>
      <c r="F451" s="3"/>
      <c r="G451" s="3"/>
      <c r="H451" s="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>
      <c r="A452" s="2"/>
      <c r="B452" s="2"/>
      <c r="C452" s="2"/>
      <c r="D452" s="2"/>
      <c r="E452" s="3"/>
      <c r="F452" s="3"/>
      <c r="G452" s="3"/>
      <c r="H452" s="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>
      <c r="A453" s="2"/>
      <c r="B453" s="2"/>
      <c r="C453" s="2"/>
      <c r="D453" s="2"/>
      <c r="E453" s="3"/>
      <c r="F453" s="3"/>
      <c r="G453" s="3"/>
      <c r="H453" s="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>
      <c r="A454" s="2"/>
      <c r="B454" s="2"/>
      <c r="C454" s="2"/>
      <c r="D454" s="2"/>
      <c r="E454" s="3"/>
      <c r="F454" s="3"/>
      <c r="G454" s="3"/>
      <c r="H454" s="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>
      <c r="A455" s="2"/>
      <c r="B455" s="2"/>
      <c r="C455" s="2"/>
      <c r="D455" s="2"/>
      <c r="E455" s="3"/>
      <c r="F455" s="3"/>
      <c r="G455" s="3"/>
      <c r="H455" s="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>
      <c r="A456" s="2"/>
      <c r="B456" s="2"/>
      <c r="C456" s="2"/>
      <c r="D456" s="2"/>
      <c r="E456" s="3"/>
      <c r="F456" s="3"/>
      <c r="G456" s="3"/>
      <c r="H456" s="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>
      <c r="A457" s="2"/>
      <c r="B457" s="2"/>
      <c r="C457" s="2"/>
      <c r="D457" s="2"/>
      <c r="E457" s="3"/>
      <c r="F457" s="3"/>
      <c r="G457" s="3"/>
      <c r="H457" s="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>
      <c r="A458" s="2"/>
      <c r="B458" s="2"/>
      <c r="C458" s="2"/>
      <c r="D458" s="2"/>
      <c r="E458" s="3"/>
      <c r="F458" s="3"/>
      <c r="G458" s="3"/>
      <c r="H458" s="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>
      <c r="A459" s="2"/>
      <c r="B459" s="2"/>
      <c r="C459" s="2"/>
      <c r="D459" s="2"/>
      <c r="E459" s="3"/>
      <c r="F459" s="3"/>
      <c r="G459" s="3"/>
      <c r="H459" s="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>
      <c r="A460" s="2"/>
      <c r="B460" s="2"/>
      <c r="C460" s="2"/>
      <c r="D460" s="2"/>
      <c r="E460" s="3"/>
      <c r="F460" s="3"/>
      <c r="G460" s="3"/>
      <c r="H460" s="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>
      <c r="A461" s="2"/>
      <c r="B461" s="2"/>
      <c r="C461" s="2"/>
      <c r="D461" s="2"/>
      <c r="E461" s="3"/>
      <c r="F461" s="3"/>
      <c r="G461" s="3"/>
      <c r="H461" s="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>
      <c r="A462" s="2"/>
      <c r="B462" s="2"/>
      <c r="C462" s="2"/>
      <c r="D462" s="2"/>
      <c r="E462" s="3"/>
      <c r="F462" s="3"/>
      <c r="G462" s="3"/>
      <c r="H462" s="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>
      <c r="A463" s="2"/>
      <c r="B463" s="2"/>
      <c r="C463" s="2"/>
      <c r="D463" s="2"/>
      <c r="E463" s="3"/>
      <c r="F463" s="3"/>
      <c r="G463" s="3"/>
      <c r="H463" s="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>
      <c r="A464" s="2"/>
      <c r="B464" s="2"/>
      <c r="C464" s="2"/>
      <c r="D464" s="2"/>
      <c r="E464" s="3"/>
      <c r="F464" s="3"/>
      <c r="G464" s="3"/>
      <c r="H464" s="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>
      <c r="A465" s="2"/>
      <c r="B465" s="2"/>
      <c r="C465" s="2"/>
      <c r="D465" s="2"/>
      <c r="E465" s="3"/>
      <c r="F465" s="3"/>
      <c r="G465" s="3"/>
      <c r="H465" s="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>
      <c r="A466" s="2"/>
      <c r="B466" s="2"/>
      <c r="C466" s="2"/>
      <c r="D466" s="2"/>
      <c r="E466" s="3"/>
      <c r="F466" s="3"/>
      <c r="G466" s="3"/>
      <c r="H466" s="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>
      <c r="A467" s="2"/>
      <c r="B467" s="2"/>
      <c r="C467" s="2"/>
      <c r="D467" s="2"/>
      <c r="E467" s="3"/>
      <c r="F467" s="3"/>
      <c r="G467" s="3"/>
      <c r="H467" s="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>
      <c r="A468" s="2"/>
      <c r="B468" s="2"/>
      <c r="C468" s="2"/>
      <c r="D468" s="2"/>
      <c r="E468" s="3"/>
      <c r="F468" s="3"/>
      <c r="G468" s="3"/>
      <c r="H468" s="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>
      <c r="A469" s="2"/>
      <c r="B469" s="2"/>
      <c r="C469" s="2"/>
      <c r="D469" s="2"/>
      <c r="E469" s="3"/>
      <c r="F469" s="3"/>
      <c r="G469" s="3"/>
      <c r="H469" s="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>
      <c r="A470" s="2"/>
      <c r="B470" s="2"/>
      <c r="C470" s="2"/>
      <c r="D470" s="2"/>
      <c r="E470" s="3"/>
      <c r="F470" s="3"/>
      <c r="G470" s="3"/>
      <c r="H470" s="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>
      <c r="A471" s="2"/>
      <c r="B471" s="2"/>
      <c r="C471" s="2"/>
      <c r="D471" s="2"/>
      <c r="E471" s="3"/>
      <c r="F471" s="3"/>
      <c r="G471" s="3"/>
      <c r="H471" s="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>
      <c r="A472" s="2"/>
      <c r="B472" s="2"/>
      <c r="C472" s="2"/>
      <c r="D472" s="2"/>
      <c r="E472" s="3"/>
      <c r="F472" s="3"/>
      <c r="G472" s="3"/>
      <c r="H472" s="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>
      <c r="A473" s="2"/>
      <c r="B473" s="2"/>
      <c r="C473" s="2"/>
      <c r="D473" s="2"/>
      <c r="E473" s="3"/>
      <c r="F473" s="3"/>
      <c r="G473" s="3"/>
      <c r="H473" s="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>
      <c r="A474" s="2"/>
      <c r="B474" s="2"/>
      <c r="C474" s="2"/>
      <c r="D474" s="2"/>
      <c r="E474" s="3"/>
      <c r="F474" s="3"/>
      <c r="G474" s="3"/>
      <c r="H474" s="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>
      <c r="A475" s="2"/>
      <c r="B475" s="2"/>
      <c r="C475" s="2"/>
      <c r="D475" s="2"/>
      <c r="E475" s="3"/>
      <c r="F475" s="3"/>
      <c r="G475" s="3"/>
      <c r="H475" s="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>
      <c r="A476" s="2"/>
      <c r="B476" s="2"/>
      <c r="C476" s="2"/>
      <c r="D476" s="2"/>
      <c r="E476" s="3"/>
      <c r="F476" s="3"/>
      <c r="G476" s="3"/>
      <c r="H476" s="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>
      <c r="A477" s="2"/>
      <c r="B477" s="2"/>
      <c r="C477" s="2"/>
      <c r="D477" s="2"/>
      <c r="E477" s="3"/>
      <c r="F477" s="3"/>
      <c r="G477" s="3"/>
      <c r="H477" s="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>
      <c r="A478" s="2"/>
      <c r="B478" s="2"/>
      <c r="C478" s="2"/>
      <c r="D478" s="2"/>
      <c r="E478" s="3"/>
      <c r="F478" s="3"/>
      <c r="G478" s="3"/>
      <c r="H478" s="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>
      <c r="A479" s="2"/>
      <c r="B479" s="2"/>
      <c r="C479" s="2"/>
      <c r="D479" s="2"/>
      <c r="E479" s="3"/>
      <c r="F479" s="3"/>
      <c r="G479" s="3"/>
      <c r="H479" s="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>
      <c r="A480" s="2"/>
      <c r="B480" s="2"/>
      <c r="C480" s="2"/>
      <c r="D480" s="2"/>
      <c r="E480" s="3"/>
      <c r="F480" s="3"/>
      <c r="G480" s="3"/>
      <c r="H480" s="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>
      <c r="A481" s="2"/>
      <c r="B481" s="2"/>
      <c r="C481" s="2"/>
      <c r="D481" s="2"/>
      <c r="E481" s="3"/>
      <c r="F481" s="3"/>
      <c r="G481" s="3"/>
      <c r="H481" s="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>
      <c r="A482" s="2"/>
      <c r="B482" s="2"/>
      <c r="C482" s="2"/>
      <c r="D482" s="2"/>
      <c r="E482" s="3"/>
      <c r="F482" s="3"/>
      <c r="G482" s="3"/>
      <c r="H482" s="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>
      <c r="A483" s="2"/>
      <c r="B483" s="2"/>
      <c r="C483" s="2"/>
      <c r="D483" s="2"/>
      <c r="E483" s="3"/>
      <c r="F483" s="3"/>
      <c r="G483" s="3"/>
      <c r="H483" s="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>
      <c r="A484" s="2"/>
      <c r="B484" s="2"/>
      <c r="C484" s="2"/>
      <c r="D484" s="2"/>
      <c r="E484" s="3"/>
      <c r="F484" s="3"/>
      <c r="G484" s="3"/>
      <c r="H484" s="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>
      <c r="A485" s="2"/>
      <c r="B485" s="2"/>
      <c r="C485" s="2"/>
      <c r="D485" s="2"/>
      <c r="E485" s="3"/>
      <c r="F485" s="3"/>
      <c r="G485" s="3"/>
      <c r="H485" s="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>
      <c r="A486" s="2"/>
      <c r="B486" s="2"/>
      <c r="C486" s="2"/>
      <c r="D486" s="2"/>
      <c r="E486" s="3"/>
      <c r="F486" s="3"/>
      <c r="G486" s="3"/>
      <c r="H486" s="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>
      <c r="A487" s="2"/>
      <c r="B487" s="2"/>
      <c r="C487" s="2"/>
      <c r="D487" s="2"/>
      <c r="E487" s="3"/>
      <c r="F487" s="3"/>
      <c r="G487" s="3"/>
      <c r="H487" s="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>
      <c r="A488" s="2"/>
      <c r="B488" s="2"/>
      <c r="C488" s="2"/>
      <c r="D488" s="2"/>
      <c r="E488" s="3"/>
      <c r="F488" s="3"/>
      <c r="G488" s="3"/>
      <c r="H488" s="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>
      <c r="A489" s="2"/>
      <c r="B489" s="2"/>
      <c r="C489" s="2"/>
      <c r="D489" s="2"/>
      <c r="E489" s="3"/>
      <c r="F489" s="3"/>
      <c r="G489" s="3"/>
      <c r="H489" s="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>
      <c r="A490" s="2"/>
      <c r="B490" s="2"/>
      <c r="C490" s="2"/>
      <c r="D490" s="2"/>
      <c r="E490" s="3"/>
      <c r="F490" s="3"/>
      <c r="G490" s="3"/>
      <c r="H490" s="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>
      <c r="A491" s="2"/>
      <c r="B491" s="2"/>
      <c r="C491" s="2"/>
      <c r="D491" s="2"/>
      <c r="E491" s="3"/>
      <c r="F491" s="3"/>
      <c r="G491" s="3"/>
      <c r="H491" s="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>
      <c r="A492" s="2"/>
      <c r="B492" s="2"/>
      <c r="C492" s="2"/>
      <c r="D492" s="2"/>
      <c r="E492" s="3"/>
      <c r="F492" s="3"/>
      <c r="G492" s="3"/>
      <c r="H492" s="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>
      <c r="A493" s="2"/>
      <c r="B493" s="2"/>
      <c r="C493" s="2"/>
      <c r="D493" s="2"/>
      <c r="E493" s="3"/>
      <c r="F493" s="3"/>
      <c r="G493" s="3"/>
      <c r="H493" s="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>
      <c r="A494" s="2"/>
      <c r="B494" s="2"/>
      <c r="C494" s="2"/>
      <c r="D494" s="2"/>
      <c r="E494" s="3"/>
      <c r="F494" s="3"/>
      <c r="G494" s="3"/>
      <c r="H494" s="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>
      <c r="A495" s="2"/>
      <c r="B495" s="2"/>
      <c r="C495" s="2"/>
      <c r="D495" s="2"/>
      <c r="E495" s="3"/>
      <c r="F495" s="3"/>
      <c r="G495" s="3"/>
      <c r="H495" s="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>
      <c r="A496" s="2"/>
      <c r="B496" s="2"/>
      <c r="C496" s="2"/>
      <c r="D496" s="2"/>
      <c r="E496" s="3"/>
      <c r="F496" s="3"/>
      <c r="G496" s="3"/>
      <c r="H496" s="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>
      <c r="A497" s="2"/>
      <c r="B497" s="2"/>
      <c r="C497" s="2"/>
      <c r="D497" s="2"/>
      <c r="E497" s="3"/>
      <c r="F497" s="3"/>
      <c r="G497" s="3"/>
      <c r="H497" s="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>
      <c r="A498" s="2"/>
      <c r="B498" s="2"/>
      <c r="C498" s="2"/>
      <c r="D498" s="2"/>
      <c r="E498" s="3"/>
      <c r="F498" s="3"/>
      <c r="G498" s="3"/>
      <c r="H498" s="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>
      <c r="A499" s="2"/>
      <c r="B499" s="2"/>
      <c r="C499" s="2"/>
      <c r="D499" s="2"/>
      <c r="E499" s="3"/>
      <c r="F499" s="3"/>
      <c r="G499" s="3"/>
      <c r="H499" s="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>
      <c r="A500" s="2"/>
      <c r="B500" s="2"/>
      <c r="C500" s="2"/>
      <c r="D500" s="2"/>
      <c r="E500" s="3"/>
      <c r="F500" s="3"/>
      <c r="G500" s="3"/>
      <c r="H500" s="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>
      <c r="A501" s="2"/>
      <c r="B501" s="2"/>
      <c r="C501" s="2"/>
      <c r="D501" s="2"/>
      <c r="E501" s="3"/>
      <c r="F501" s="3"/>
      <c r="G501" s="3"/>
      <c r="H501" s="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>
      <c r="A502" s="2"/>
      <c r="B502" s="2"/>
      <c r="C502" s="2"/>
      <c r="D502" s="2"/>
      <c r="E502" s="3"/>
      <c r="F502" s="3"/>
      <c r="G502" s="3"/>
      <c r="H502" s="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>
      <c r="A503" s="2"/>
      <c r="B503" s="2"/>
      <c r="C503" s="2"/>
      <c r="D503" s="2"/>
      <c r="E503" s="3"/>
      <c r="F503" s="3"/>
      <c r="G503" s="3"/>
      <c r="H503" s="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>
      <c r="A504" s="2"/>
      <c r="B504" s="2"/>
      <c r="C504" s="2"/>
      <c r="D504" s="2"/>
      <c r="E504" s="3"/>
      <c r="F504" s="3"/>
      <c r="G504" s="3"/>
      <c r="H504" s="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>
      <c r="A505" s="2"/>
      <c r="B505" s="2"/>
      <c r="C505" s="2"/>
      <c r="D505" s="2"/>
      <c r="E505" s="3"/>
      <c r="F505" s="3"/>
      <c r="G505" s="3"/>
      <c r="H505" s="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>
      <c r="A506" s="2"/>
      <c r="B506" s="2"/>
      <c r="C506" s="2"/>
      <c r="D506" s="2"/>
      <c r="E506" s="3"/>
      <c r="F506" s="3"/>
      <c r="G506" s="3"/>
      <c r="H506" s="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>
      <c r="A507" s="2"/>
      <c r="B507" s="2"/>
      <c r="C507" s="2"/>
      <c r="D507" s="2"/>
      <c r="E507" s="3"/>
      <c r="F507" s="3"/>
      <c r="G507" s="3"/>
      <c r="H507" s="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>
      <c r="A508" s="2"/>
      <c r="B508" s="2"/>
      <c r="C508" s="2"/>
      <c r="D508" s="2"/>
      <c r="E508" s="3"/>
      <c r="F508" s="3"/>
      <c r="G508" s="3"/>
      <c r="H508" s="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>
      <c r="A509" s="2"/>
      <c r="B509" s="2"/>
      <c r="C509" s="2"/>
      <c r="D509" s="2"/>
      <c r="E509" s="3"/>
      <c r="F509" s="3"/>
      <c r="G509" s="3"/>
      <c r="H509" s="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>
      <c r="A510" s="2"/>
      <c r="B510" s="2"/>
      <c r="C510" s="2"/>
      <c r="D510" s="2"/>
      <c r="E510" s="3"/>
      <c r="F510" s="3"/>
      <c r="G510" s="3"/>
      <c r="H510" s="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>
      <c r="A511" s="2"/>
      <c r="B511" s="2"/>
      <c r="C511" s="2"/>
      <c r="D511" s="2"/>
      <c r="E511" s="3"/>
      <c r="F511" s="3"/>
      <c r="G511" s="3"/>
      <c r="H511" s="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>
      <c r="A512" s="2"/>
      <c r="B512" s="2"/>
      <c r="C512" s="2"/>
      <c r="D512" s="2"/>
      <c r="E512" s="3"/>
      <c r="F512" s="3"/>
      <c r="G512" s="3"/>
      <c r="H512" s="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>
      <c r="A513" s="2"/>
      <c r="B513" s="2"/>
      <c r="C513" s="2"/>
      <c r="D513" s="2"/>
      <c r="E513" s="3"/>
      <c r="F513" s="3"/>
      <c r="G513" s="3"/>
      <c r="H513" s="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>
      <c r="A514" s="2"/>
      <c r="B514" s="2"/>
      <c r="C514" s="2"/>
      <c r="D514" s="2"/>
      <c r="E514" s="3"/>
      <c r="F514" s="3"/>
      <c r="G514" s="3"/>
      <c r="H514" s="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>
      <c r="A515" s="2"/>
      <c r="B515" s="2"/>
      <c r="C515" s="2"/>
      <c r="D515" s="2"/>
      <c r="E515" s="3"/>
      <c r="F515" s="3"/>
      <c r="G515" s="3"/>
      <c r="H515" s="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>
      <c r="A516" s="2"/>
      <c r="B516" s="2"/>
      <c r="C516" s="2"/>
      <c r="D516" s="2"/>
      <c r="E516" s="3"/>
      <c r="F516" s="3"/>
      <c r="G516" s="3"/>
      <c r="H516" s="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>
      <c r="A517" s="2"/>
      <c r="B517" s="2"/>
      <c r="C517" s="2"/>
      <c r="D517" s="2"/>
      <c r="E517" s="3"/>
      <c r="F517" s="3"/>
      <c r="G517" s="3"/>
      <c r="H517" s="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>
      <c r="A518" s="2"/>
      <c r="B518" s="2"/>
      <c r="C518" s="2"/>
      <c r="D518" s="2"/>
      <c r="E518" s="3"/>
      <c r="F518" s="3"/>
      <c r="G518" s="3"/>
      <c r="H518" s="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>
      <c r="A519" s="2"/>
      <c r="B519" s="2"/>
      <c r="C519" s="2"/>
      <c r="D519" s="2"/>
      <c r="E519" s="3"/>
      <c r="F519" s="3"/>
      <c r="G519" s="3"/>
      <c r="H519" s="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>
      <c r="A520" s="2"/>
      <c r="B520" s="2"/>
      <c r="C520" s="2"/>
      <c r="D520" s="2"/>
      <c r="E520" s="3"/>
      <c r="F520" s="3"/>
      <c r="G520" s="3"/>
      <c r="H520" s="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2"/>
      <c r="B521" s="2"/>
      <c r="C521" s="2"/>
      <c r="D521" s="2"/>
      <c r="E521" s="3"/>
      <c r="F521" s="3"/>
      <c r="G521" s="3"/>
      <c r="H521" s="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2"/>
      <c r="B522" s="2"/>
      <c r="C522" s="2"/>
      <c r="D522" s="2"/>
      <c r="E522" s="3"/>
      <c r="F522" s="3"/>
      <c r="G522" s="3"/>
      <c r="H522" s="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>
      <c r="A523" s="2"/>
      <c r="B523" s="2"/>
      <c r="C523" s="2"/>
      <c r="D523" s="2"/>
      <c r="E523" s="3"/>
      <c r="F523" s="3"/>
      <c r="G523" s="3"/>
      <c r="H523" s="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>
      <c r="A524" s="2"/>
      <c r="B524" s="2"/>
      <c r="C524" s="2"/>
      <c r="D524" s="2"/>
      <c r="E524" s="3"/>
      <c r="F524" s="3"/>
      <c r="G524" s="3"/>
      <c r="H524" s="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>
      <c r="A525" s="2"/>
      <c r="B525" s="2"/>
      <c r="C525" s="2"/>
      <c r="D525" s="2"/>
      <c r="E525" s="3"/>
      <c r="F525" s="3"/>
      <c r="G525" s="3"/>
      <c r="H525" s="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>
      <c r="A526" s="2"/>
      <c r="B526" s="2"/>
      <c r="C526" s="2"/>
      <c r="D526" s="2"/>
      <c r="E526" s="3"/>
      <c r="F526" s="3"/>
      <c r="G526" s="3"/>
      <c r="H526" s="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>
      <c r="A527" s="2"/>
      <c r="B527" s="2"/>
      <c r="C527" s="2"/>
      <c r="D527" s="2"/>
      <c r="E527" s="3"/>
      <c r="F527" s="3"/>
      <c r="G527" s="3"/>
      <c r="H527" s="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>
      <c r="A528" s="2"/>
      <c r="B528" s="2"/>
      <c r="C528" s="2"/>
      <c r="D528" s="2"/>
      <c r="E528" s="3"/>
      <c r="F528" s="3"/>
      <c r="G528" s="3"/>
      <c r="H528" s="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>
      <c r="A529" s="2"/>
      <c r="B529" s="2"/>
      <c r="C529" s="2"/>
      <c r="D529" s="2"/>
      <c r="E529" s="3"/>
      <c r="F529" s="3"/>
      <c r="G529" s="3"/>
      <c r="H529" s="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>
      <c r="A530" s="2"/>
      <c r="B530" s="2"/>
      <c r="C530" s="2"/>
      <c r="D530" s="2"/>
      <c r="E530" s="3"/>
      <c r="F530" s="3"/>
      <c r="G530" s="3"/>
      <c r="H530" s="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>
      <c r="A531" s="2"/>
      <c r="B531" s="2"/>
      <c r="C531" s="2"/>
      <c r="D531" s="2"/>
      <c r="E531" s="3"/>
      <c r="F531" s="3"/>
      <c r="G531" s="3"/>
      <c r="H531" s="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>
      <c r="A532" s="2"/>
      <c r="B532" s="2"/>
      <c r="C532" s="2"/>
      <c r="D532" s="2"/>
      <c r="E532" s="3"/>
      <c r="F532" s="3"/>
      <c r="G532" s="3"/>
      <c r="H532" s="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>
      <c r="A533" s="2"/>
      <c r="B533" s="2"/>
      <c r="C533" s="2"/>
      <c r="D533" s="2"/>
      <c r="E533" s="3"/>
      <c r="F533" s="3"/>
      <c r="G533" s="3"/>
      <c r="H533" s="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>
      <c r="A534" s="2"/>
      <c r="B534" s="2"/>
      <c r="C534" s="2"/>
      <c r="D534" s="2"/>
      <c r="E534" s="3"/>
      <c r="F534" s="3"/>
      <c r="G534" s="3"/>
      <c r="H534" s="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>
      <c r="A535" s="2"/>
      <c r="B535" s="2"/>
      <c r="C535" s="2"/>
      <c r="D535" s="2"/>
      <c r="E535" s="3"/>
      <c r="F535" s="3"/>
      <c r="G535" s="3"/>
      <c r="H535" s="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>
      <c r="A536" s="2"/>
      <c r="B536" s="2"/>
      <c r="C536" s="2"/>
      <c r="D536" s="2"/>
      <c r="E536" s="3"/>
      <c r="F536" s="3"/>
      <c r="G536" s="3"/>
      <c r="H536" s="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>
      <c r="A537" s="2"/>
      <c r="B537" s="2"/>
      <c r="C537" s="2"/>
      <c r="D537" s="2"/>
      <c r="E537" s="3"/>
      <c r="F537" s="3"/>
      <c r="G537" s="3"/>
      <c r="H537" s="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>
      <c r="A538" s="2"/>
      <c r="B538" s="2"/>
      <c r="C538" s="2"/>
      <c r="D538" s="2"/>
      <c r="E538" s="3"/>
      <c r="F538" s="3"/>
      <c r="G538" s="3"/>
      <c r="H538" s="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>
      <c r="A539" s="2"/>
      <c r="B539" s="2"/>
      <c r="C539" s="2"/>
      <c r="D539" s="2"/>
      <c r="E539" s="3"/>
      <c r="F539" s="3"/>
      <c r="G539" s="3"/>
      <c r="H539" s="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>
      <c r="A540" s="2"/>
      <c r="B540" s="2"/>
      <c r="C540" s="2"/>
      <c r="D540" s="2"/>
      <c r="E540" s="3"/>
      <c r="F540" s="3"/>
      <c r="G540" s="3"/>
      <c r="H540" s="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>
      <c r="A541" s="2"/>
      <c r="B541" s="2"/>
      <c r="C541" s="2"/>
      <c r="D541" s="2"/>
      <c r="E541" s="3"/>
      <c r="F541" s="3"/>
      <c r="G541" s="3"/>
      <c r="H541" s="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>
      <c r="A542" s="2"/>
      <c r="B542" s="2"/>
      <c r="C542" s="2"/>
      <c r="D542" s="2"/>
      <c r="E542" s="3"/>
      <c r="F542" s="3"/>
      <c r="G542" s="3"/>
      <c r="H542" s="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>
      <c r="A543" s="2"/>
      <c r="B543" s="2"/>
      <c r="C543" s="2"/>
      <c r="D543" s="2"/>
      <c r="E543" s="3"/>
      <c r="F543" s="3"/>
      <c r="G543" s="3"/>
      <c r="H543" s="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>
      <c r="A544" s="2"/>
      <c r="B544" s="2"/>
      <c r="C544" s="2"/>
      <c r="D544" s="2"/>
      <c r="E544" s="3"/>
      <c r="F544" s="3"/>
      <c r="G544" s="3"/>
      <c r="H544" s="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>
      <c r="A545" s="2"/>
      <c r="B545" s="2"/>
      <c r="C545" s="2"/>
      <c r="D545" s="2"/>
      <c r="E545" s="3"/>
      <c r="F545" s="3"/>
      <c r="G545" s="3"/>
      <c r="H545" s="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>
      <c r="A546" s="2"/>
      <c r="B546" s="2"/>
      <c r="C546" s="2"/>
      <c r="D546" s="2"/>
      <c r="E546" s="3"/>
      <c r="F546" s="3"/>
      <c r="G546" s="3"/>
      <c r="H546" s="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>
      <c r="A547" s="2"/>
      <c r="B547" s="2"/>
      <c r="C547" s="2"/>
      <c r="D547" s="2"/>
      <c r="E547" s="3"/>
      <c r="F547" s="3"/>
      <c r="G547" s="3"/>
      <c r="H547" s="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>
      <c r="A548" s="2"/>
      <c r="B548" s="2"/>
      <c r="C548" s="2"/>
      <c r="D548" s="2"/>
      <c r="E548" s="3"/>
      <c r="F548" s="3"/>
      <c r="G548" s="3"/>
      <c r="H548" s="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>
      <c r="A549" s="2"/>
      <c r="B549" s="2"/>
      <c r="C549" s="2"/>
      <c r="D549" s="2"/>
      <c r="E549" s="3"/>
      <c r="F549" s="3"/>
      <c r="G549" s="3"/>
      <c r="H549" s="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>
      <c r="A550" s="2"/>
      <c r="B550" s="2"/>
      <c r="C550" s="2"/>
      <c r="D550" s="2"/>
      <c r="E550" s="3"/>
      <c r="F550" s="3"/>
      <c r="G550" s="3"/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>
      <c r="A551" s="2"/>
      <c r="B551" s="2"/>
      <c r="C551" s="2"/>
      <c r="D551" s="2"/>
      <c r="E551" s="3"/>
      <c r="F551" s="3"/>
      <c r="G551" s="3"/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>
      <c r="A552" s="2"/>
      <c r="B552" s="2"/>
      <c r="C552" s="2"/>
      <c r="D552" s="2"/>
      <c r="E552" s="3"/>
      <c r="F552" s="3"/>
      <c r="G552" s="3"/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>
      <c r="A553" s="2"/>
      <c r="B553" s="2"/>
      <c r="C553" s="2"/>
      <c r="D553" s="2"/>
      <c r="E553" s="3"/>
      <c r="F553" s="3"/>
      <c r="G553" s="3"/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>
      <c r="A554" s="2"/>
      <c r="B554" s="2"/>
      <c r="C554" s="2"/>
      <c r="D554" s="2"/>
      <c r="E554" s="3"/>
      <c r="F554" s="3"/>
      <c r="G554" s="3"/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>
      <c r="A555" s="2"/>
      <c r="B555" s="2"/>
      <c r="C555" s="2"/>
      <c r="D555" s="2"/>
      <c r="E555" s="3"/>
      <c r="F555" s="3"/>
      <c r="G555" s="3"/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>
      <c r="A556" s="2"/>
      <c r="B556" s="2"/>
      <c r="C556" s="2"/>
      <c r="D556" s="2"/>
      <c r="E556" s="3"/>
      <c r="F556" s="3"/>
      <c r="G556" s="3"/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>
      <c r="A557" s="2"/>
      <c r="B557" s="2"/>
      <c r="C557" s="2"/>
      <c r="D557" s="2"/>
      <c r="E557" s="3"/>
      <c r="F557" s="3"/>
      <c r="G557" s="3"/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>
      <c r="A558" s="2"/>
      <c r="B558" s="2"/>
      <c r="C558" s="2"/>
      <c r="D558" s="2"/>
      <c r="E558" s="3"/>
      <c r="F558" s="3"/>
      <c r="G558" s="3"/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>
      <c r="A559" s="2"/>
      <c r="B559" s="2"/>
      <c r="C559" s="2"/>
      <c r="D559" s="2"/>
      <c r="E559" s="3"/>
      <c r="F559" s="3"/>
      <c r="G559" s="3"/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>
      <c r="A560" s="2"/>
      <c r="B560" s="2"/>
      <c r="C560" s="2"/>
      <c r="D560" s="2"/>
      <c r="E560" s="3"/>
      <c r="F560" s="3"/>
      <c r="G560" s="3"/>
      <c r="H560" s="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>
      <c r="A561" s="2"/>
      <c r="B561" s="2"/>
      <c r="C561" s="2"/>
      <c r="D561" s="2"/>
      <c r="E561" s="3"/>
      <c r="F561" s="3"/>
      <c r="G561" s="3"/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>
      <c r="A562" s="2"/>
      <c r="B562" s="2"/>
      <c r="C562" s="2"/>
      <c r="D562" s="2"/>
      <c r="E562" s="3"/>
      <c r="F562" s="3"/>
      <c r="G562" s="3"/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>
      <c r="A563" s="2"/>
      <c r="B563" s="2"/>
      <c r="C563" s="2"/>
      <c r="D563" s="2"/>
      <c r="E563" s="3"/>
      <c r="F563" s="3"/>
      <c r="G563" s="3"/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>
      <c r="A564" s="2"/>
      <c r="B564" s="2"/>
      <c r="C564" s="2"/>
      <c r="D564" s="2"/>
      <c r="E564" s="3"/>
      <c r="F564" s="3"/>
      <c r="G564" s="3"/>
      <c r="H564" s="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>
      <c r="A565" s="2"/>
      <c r="B565" s="2"/>
      <c r="C565" s="2"/>
      <c r="D565" s="2"/>
      <c r="E565" s="3"/>
      <c r="F565" s="3"/>
      <c r="G565" s="3"/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>
      <c r="A566" s="2"/>
      <c r="B566" s="2"/>
      <c r="C566" s="2"/>
      <c r="D566" s="2"/>
      <c r="E566" s="3"/>
      <c r="F566" s="3"/>
      <c r="G566" s="3"/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>
      <c r="A567" s="2"/>
      <c r="B567" s="2"/>
      <c r="C567" s="2"/>
      <c r="D567" s="2"/>
      <c r="E567" s="3"/>
      <c r="F567" s="3"/>
      <c r="G567" s="3"/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>
      <c r="A568" s="2"/>
      <c r="B568" s="2"/>
      <c r="C568" s="2"/>
      <c r="D568" s="2"/>
      <c r="E568" s="3"/>
      <c r="F568" s="3"/>
      <c r="G568" s="3"/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>
      <c r="A569" s="2"/>
      <c r="B569" s="2"/>
      <c r="C569" s="2"/>
      <c r="D569" s="2"/>
      <c r="E569" s="3"/>
      <c r="F569" s="3"/>
      <c r="G569" s="3"/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>
      <c r="A570" s="2"/>
      <c r="B570" s="2"/>
      <c r="C570" s="2"/>
      <c r="D570" s="2"/>
      <c r="E570" s="3"/>
      <c r="F570" s="3"/>
      <c r="G570" s="3"/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>
      <c r="A571" s="2"/>
      <c r="B571" s="2"/>
      <c r="C571" s="2"/>
      <c r="D571" s="2"/>
      <c r="E571" s="3"/>
      <c r="F571" s="3"/>
      <c r="G571" s="3"/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>
      <c r="A572" s="2"/>
      <c r="B572" s="2"/>
      <c r="C572" s="2"/>
      <c r="D572" s="2"/>
      <c r="E572" s="3"/>
      <c r="F572" s="3"/>
      <c r="G572" s="3"/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>
      <c r="A573" s="2"/>
      <c r="B573" s="2"/>
      <c r="C573" s="2"/>
      <c r="D573" s="2"/>
      <c r="E573" s="3"/>
      <c r="F573" s="3"/>
      <c r="G573" s="3"/>
      <c r="H573" s="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>
      <c r="A574" s="2"/>
      <c r="B574" s="2"/>
      <c r="C574" s="2"/>
      <c r="D574" s="2"/>
      <c r="E574" s="3"/>
      <c r="F574" s="3"/>
      <c r="G574" s="3"/>
      <c r="H574" s="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>
      <c r="A575" s="2"/>
      <c r="B575" s="2"/>
      <c r="C575" s="2"/>
      <c r="D575" s="2"/>
      <c r="E575" s="3"/>
      <c r="F575" s="3"/>
      <c r="G575" s="3"/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>
      <c r="A576" s="2"/>
      <c r="B576" s="2"/>
      <c r="C576" s="2"/>
      <c r="D576" s="2"/>
      <c r="E576" s="3"/>
      <c r="F576" s="3"/>
      <c r="G576" s="3"/>
      <c r="H576" s="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>
      <c r="A577" s="2"/>
      <c r="B577" s="2"/>
      <c r="C577" s="2"/>
      <c r="D577" s="2"/>
      <c r="E577" s="3"/>
      <c r="F577" s="3"/>
      <c r="G577" s="3"/>
      <c r="H577" s="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>
      <c r="A578" s="2"/>
      <c r="B578" s="2"/>
      <c r="C578" s="2"/>
      <c r="D578" s="2"/>
      <c r="E578" s="3"/>
      <c r="F578" s="3"/>
      <c r="G578" s="3"/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>
      <c r="A579" s="2"/>
      <c r="B579" s="2"/>
      <c r="C579" s="2"/>
      <c r="D579" s="2"/>
      <c r="E579" s="3"/>
      <c r="F579" s="3"/>
      <c r="G579" s="3"/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>
      <c r="A580" s="2"/>
      <c r="B580" s="2"/>
      <c r="C580" s="2"/>
      <c r="D580" s="2"/>
      <c r="E580" s="3"/>
      <c r="F580" s="3"/>
      <c r="G580" s="3"/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>
      <c r="A581" s="2"/>
      <c r="B581" s="2"/>
      <c r="C581" s="2"/>
      <c r="D581" s="2"/>
      <c r="E581" s="3"/>
      <c r="F581" s="3"/>
      <c r="G581" s="3"/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>
      <c r="A582" s="2"/>
      <c r="B582" s="2"/>
      <c r="C582" s="2"/>
      <c r="D582" s="2"/>
      <c r="E582" s="3"/>
      <c r="F582" s="3"/>
      <c r="G582" s="3"/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>
      <c r="A583" s="2"/>
      <c r="B583" s="2"/>
      <c r="C583" s="2"/>
      <c r="D583" s="2"/>
      <c r="E583" s="3"/>
      <c r="F583" s="3"/>
      <c r="G583" s="3"/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>
      <c r="A584" s="2"/>
      <c r="B584" s="2"/>
      <c r="C584" s="2"/>
      <c r="D584" s="2"/>
      <c r="E584" s="3"/>
      <c r="F584" s="3"/>
      <c r="G584" s="3"/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>
      <c r="A585" s="2"/>
      <c r="B585" s="2"/>
      <c r="C585" s="2"/>
      <c r="D585" s="2"/>
      <c r="E585" s="3"/>
      <c r="F585" s="3"/>
      <c r="G585" s="3"/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>
      <c r="A586" s="2"/>
      <c r="B586" s="2"/>
      <c r="C586" s="2"/>
      <c r="D586" s="2"/>
      <c r="E586" s="3"/>
      <c r="F586" s="3"/>
      <c r="G586" s="3"/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>
      <c r="A587" s="2"/>
      <c r="B587" s="2"/>
      <c r="C587" s="2"/>
      <c r="D587" s="2"/>
      <c r="E587" s="3"/>
      <c r="F587" s="3"/>
      <c r="G587" s="3"/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>
      <c r="A588" s="2"/>
      <c r="B588" s="2"/>
      <c r="C588" s="2"/>
      <c r="D588" s="2"/>
      <c r="E588" s="3"/>
      <c r="F588" s="3"/>
      <c r="G588" s="3"/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>
      <c r="A589" s="2"/>
      <c r="B589" s="2"/>
      <c r="C589" s="2"/>
      <c r="D589" s="2"/>
      <c r="E589" s="3"/>
      <c r="F589" s="3"/>
      <c r="G589" s="3"/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>
      <c r="A590" s="2"/>
      <c r="B590" s="2"/>
      <c r="C590" s="2"/>
      <c r="D590" s="2"/>
      <c r="E590" s="3"/>
      <c r="F590" s="3"/>
      <c r="G590" s="3"/>
      <c r="H590" s="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>
      <c r="A591" s="2"/>
      <c r="B591" s="2"/>
      <c r="C591" s="2"/>
      <c r="D591" s="2"/>
      <c r="E591" s="3"/>
      <c r="F591" s="3"/>
      <c r="G591" s="3"/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>
      <c r="A592" s="2"/>
      <c r="B592" s="2"/>
      <c r="C592" s="2"/>
      <c r="D592" s="2"/>
      <c r="E592" s="3"/>
      <c r="F592" s="3"/>
      <c r="G592" s="3"/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>
      <c r="A593" s="2"/>
      <c r="B593" s="2"/>
      <c r="C593" s="2"/>
      <c r="D593" s="2"/>
      <c r="E593" s="3"/>
      <c r="F593" s="3"/>
      <c r="G593" s="3"/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>
      <c r="A594" s="2"/>
      <c r="B594" s="2"/>
      <c r="C594" s="2"/>
      <c r="D594" s="2"/>
      <c r="E594" s="3"/>
      <c r="F594" s="3"/>
      <c r="G594" s="3"/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>
      <c r="A595" s="2"/>
      <c r="B595" s="2"/>
      <c r="C595" s="2"/>
      <c r="D595" s="2"/>
      <c r="E595" s="3"/>
      <c r="F595" s="3"/>
      <c r="G595" s="3"/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>
      <c r="A596" s="2"/>
      <c r="B596" s="2"/>
      <c r="C596" s="2"/>
      <c r="D596" s="2"/>
      <c r="E596" s="3"/>
      <c r="F596" s="3"/>
      <c r="G596" s="3"/>
      <c r="H596" s="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>
      <c r="A597" s="2"/>
      <c r="B597" s="2"/>
      <c r="C597" s="2"/>
      <c r="D597" s="2"/>
      <c r="E597" s="3"/>
      <c r="F597" s="3"/>
      <c r="G597" s="3"/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>
      <c r="A598" s="2"/>
      <c r="B598" s="2"/>
      <c r="C598" s="2"/>
      <c r="D598" s="2"/>
      <c r="E598" s="3"/>
      <c r="F598" s="3"/>
      <c r="G598" s="3"/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>
      <c r="A599" s="2"/>
      <c r="B599" s="2"/>
      <c r="C599" s="2"/>
      <c r="D599" s="2"/>
      <c r="E599" s="3"/>
      <c r="F599" s="3"/>
      <c r="G599" s="3"/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>
      <c r="A600" s="2"/>
      <c r="B600" s="2"/>
      <c r="C600" s="2"/>
      <c r="D600" s="2"/>
      <c r="E600" s="3"/>
      <c r="F600" s="3"/>
      <c r="G600" s="3"/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>
      <c r="A601" s="2"/>
      <c r="B601" s="2"/>
      <c r="C601" s="2"/>
      <c r="D601" s="2"/>
      <c r="E601" s="3"/>
      <c r="F601" s="3"/>
      <c r="G601" s="3"/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>
      <c r="A602" s="2"/>
      <c r="B602" s="2"/>
      <c r="C602" s="2"/>
      <c r="D602" s="2"/>
      <c r="E602" s="3"/>
      <c r="F602" s="3"/>
      <c r="G602" s="3"/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>
      <c r="A603" s="2"/>
      <c r="B603" s="2"/>
      <c r="C603" s="2"/>
      <c r="D603" s="2"/>
      <c r="E603" s="3"/>
      <c r="F603" s="3"/>
      <c r="G603" s="3"/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>
      <c r="A604" s="2"/>
      <c r="B604" s="2"/>
      <c r="C604" s="2"/>
      <c r="D604" s="2"/>
      <c r="E604" s="3"/>
      <c r="F604" s="3"/>
      <c r="G604" s="3"/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>
      <c r="A605" s="2"/>
      <c r="B605" s="2"/>
      <c r="C605" s="2"/>
      <c r="D605" s="2"/>
      <c r="E605" s="3"/>
      <c r="F605" s="3"/>
      <c r="G605" s="3"/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>
      <c r="A606" s="2"/>
      <c r="B606" s="2"/>
      <c r="C606" s="2"/>
      <c r="D606" s="2"/>
      <c r="E606" s="3"/>
      <c r="F606" s="3"/>
      <c r="G606" s="3"/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>
      <c r="A607" s="2"/>
      <c r="B607" s="2"/>
      <c r="C607" s="2"/>
      <c r="D607" s="2"/>
      <c r="E607" s="3"/>
      <c r="F607" s="3"/>
      <c r="G607" s="3"/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>
      <c r="A608" s="2"/>
      <c r="B608" s="2"/>
      <c r="C608" s="2"/>
      <c r="D608" s="2"/>
      <c r="E608" s="3"/>
      <c r="F608" s="3"/>
      <c r="G608" s="3"/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>
      <c r="A609" s="2"/>
      <c r="B609" s="2"/>
      <c r="C609" s="2"/>
      <c r="D609" s="2"/>
      <c r="E609" s="3"/>
      <c r="F609" s="3"/>
      <c r="G609" s="3"/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>
      <c r="A610" s="2"/>
      <c r="B610" s="2"/>
      <c r="C610" s="2"/>
      <c r="D610" s="2"/>
      <c r="E610" s="3"/>
      <c r="F610" s="3"/>
      <c r="G610" s="3"/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>
      <c r="A611" s="2"/>
      <c r="B611" s="2"/>
      <c r="C611" s="2"/>
      <c r="D611" s="2"/>
      <c r="E611" s="3"/>
      <c r="F611" s="3"/>
      <c r="G611" s="3"/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>
      <c r="A612" s="2"/>
      <c r="B612" s="2"/>
      <c r="C612" s="2"/>
      <c r="D612" s="2"/>
      <c r="E612" s="3"/>
      <c r="F612" s="3"/>
      <c r="G612" s="3"/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>
      <c r="A613" s="2"/>
      <c r="B613" s="2"/>
      <c r="C613" s="2"/>
      <c r="D613" s="2"/>
      <c r="E613" s="3"/>
      <c r="F613" s="3"/>
      <c r="G613" s="3"/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>
      <c r="A614" s="2"/>
      <c r="B614" s="2"/>
      <c r="C614" s="2"/>
      <c r="D614" s="2"/>
      <c r="E614" s="3"/>
      <c r="F614" s="3"/>
      <c r="G614" s="3"/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>
      <c r="A615" s="2"/>
      <c r="B615" s="2"/>
      <c r="C615" s="2"/>
      <c r="D615" s="2"/>
      <c r="E615" s="3"/>
      <c r="F615" s="3"/>
      <c r="G615" s="3"/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>
      <c r="A616" s="2"/>
      <c r="B616" s="2"/>
      <c r="C616" s="2"/>
      <c r="D616" s="2"/>
      <c r="E616" s="3"/>
      <c r="F616" s="3"/>
      <c r="G616" s="3"/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>
      <c r="A617" s="2"/>
      <c r="B617" s="2"/>
      <c r="C617" s="2"/>
      <c r="D617" s="2"/>
      <c r="E617" s="3"/>
      <c r="F617" s="3"/>
      <c r="G617" s="3"/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>
      <c r="A618" s="2"/>
      <c r="B618" s="2"/>
      <c r="C618" s="2"/>
      <c r="D618" s="2"/>
      <c r="E618" s="3"/>
      <c r="F618" s="3"/>
      <c r="G618" s="3"/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>
      <c r="A619" s="2"/>
      <c r="B619" s="2"/>
      <c r="C619" s="2"/>
      <c r="D619" s="2"/>
      <c r="E619" s="3"/>
      <c r="F619" s="3"/>
      <c r="G619" s="3"/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>
      <c r="A620" s="2"/>
      <c r="B620" s="2"/>
      <c r="C620" s="2"/>
      <c r="D620" s="2"/>
      <c r="E620" s="3"/>
      <c r="F620" s="3"/>
      <c r="G620" s="3"/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>
      <c r="A621" s="2"/>
      <c r="B621" s="2"/>
      <c r="C621" s="2"/>
      <c r="D621" s="2"/>
      <c r="E621" s="3"/>
      <c r="F621" s="3"/>
      <c r="G621" s="3"/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>
      <c r="A622" s="2"/>
      <c r="B622" s="2"/>
      <c r="C622" s="2"/>
      <c r="D622" s="2"/>
      <c r="E622" s="3"/>
      <c r="F622" s="3"/>
      <c r="G622" s="3"/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>
      <c r="A623" s="2"/>
      <c r="B623" s="2"/>
      <c r="C623" s="2"/>
      <c r="D623" s="2"/>
      <c r="E623" s="3"/>
      <c r="F623" s="3"/>
      <c r="G623" s="3"/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>
      <c r="A624" s="2"/>
      <c r="B624" s="2"/>
      <c r="C624" s="2"/>
      <c r="D624" s="2"/>
      <c r="E624" s="3"/>
      <c r="F624" s="3"/>
      <c r="G624" s="3"/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>
      <c r="A625" s="2"/>
      <c r="B625" s="2"/>
      <c r="C625" s="2"/>
      <c r="D625" s="2"/>
      <c r="E625" s="3"/>
      <c r="F625" s="3"/>
      <c r="G625" s="3"/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>
      <c r="A626" s="2"/>
      <c r="B626" s="2"/>
      <c r="C626" s="2"/>
      <c r="D626" s="2"/>
      <c r="E626" s="3"/>
      <c r="F626" s="3"/>
      <c r="G626" s="3"/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>
      <c r="A627" s="2"/>
      <c r="B627" s="2"/>
      <c r="C627" s="2"/>
      <c r="D627" s="2"/>
      <c r="E627" s="3"/>
      <c r="F627" s="3"/>
      <c r="G627" s="3"/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>
      <c r="A628" s="2"/>
      <c r="B628" s="2"/>
      <c r="C628" s="2"/>
      <c r="D628" s="2"/>
      <c r="E628" s="3"/>
      <c r="F628" s="3"/>
      <c r="G628" s="3"/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>
      <c r="A629" s="2"/>
      <c r="B629" s="2"/>
      <c r="C629" s="2"/>
      <c r="D629" s="2"/>
      <c r="E629" s="3"/>
      <c r="F629" s="3"/>
      <c r="G629" s="3"/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>
      <c r="A630" s="2"/>
      <c r="B630" s="2"/>
      <c r="C630" s="2"/>
      <c r="D630" s="2"/>
      <c r="E630" s="3"/>
      <c r="F630" s="3"/>
      <c r="G630" s="3"/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>
      <c r="A631" s="2"/>
      <c r="B631" s="2"/>
      <c r="C631" s="2"/>
      <c r="D631" s="2"/>
      <c r="E631" s="3"/>
      <c r="F631" s="3"/>
      <c r="G631" s="3"/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>
      <c r="A632" s="2"/>
      <c r="B632" s="2"/>
      <c r="C632" s="2"/>
      <c r="D632" s="2"/>
      <c r="E632" s="3"/>
      <c r="F632" s="3"/>
      <c r="G632" s="3"/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>
      <c r="A633" s="2"/>
      <c r="B633" s="2"/>
      <c r="C633" s="2"/>
      <c r="D633" s="2"/>
      <c r="E633" s="3"/>
      <c r="F633" s="3"/>
      <c r="G633" s="3"/>
      <c r="H633" s="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>
      <c r="A634" s="2"/>
      <c r="B634" s="2"/>
      <c r="C634" s="2"/>
      <c r="D634" s="2"/>
      <c r="E634" s="3"/>
      <c r="F634" s="3"/>
      <c r="G634" s="3"/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>
      <c r="A635" s="2"/>
      <c r="B635" s="2"/>
      <c r="C635" s="2"/>
      <c r="D635" s="2"/>
      <c r="E635" s="3"/>
      <c r="F635" s="3"/>
      <c r="G635" s="3"/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>
      <c r="A636" s="2"/>
      <c r="B636" s="2"/>
      <c r="C636" s="2"/>
      <c r="D636" s="2"/>
      <c r="E636" s="3"/>
      <c r="F636" s="3"/>
      <c r="G636" s="3"/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>
      <c r="A637" s="2"/>
      <c r="B637" s="2"/>
      <c r="C637" s="2"/>
      <c r="D637" s="2"/>
      <c r="E637" s="3"/>
      <c r="F637" s="3"/>
      <c r="G637" s="3"/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>
      <c r="A638" s="2"/>
      <c r="B638" s="2"/>
      <c r="C638" s="2"/>
      <c r="D638" s="2"/>
      <c r="E638" s="3"/>
      <c r="F638" s="3"/>
      <c r="G638" s="3"/>
      <c r="H638" s="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>
      <c r="A639" s="2"/>
      <c r="B639" s="2"/>
      <c r="C639" s="2"/>
      <c r="D639" s="2"/>
      <c r="E639" s="3"/>
      <c r="F639" s="3"/>
      <c r="G639" s="3"/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>
      <c r="A640" s="2"/>
      <c r="B640" s="2"/>
      <c r="C640" s="2"/>
      <c r="D640" s="2"/>
      <c r="E640" s="3"/>
      <c r="F640" s="3"/>
      <c r="G640" s="3"/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>
      <c r="A641" s="2"/>
      <c r="B641" s="2"/>
      <c r="C641" s="2"/>
      <c r="D641" s="2"/>
      <c r="E641" s="3"/>
      <c r="F641" s="3"/>
      <c r="G641" s="3"/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>
      <c r="A642" s="2"/>
      <c r="B642" s="2"/>
      <c r="C642" s="2"/>
      <c r="D642" s="2"/>
      <c r="E642" s="3"/>
      <c r="F642" s="3"/>
      <c r="G642" s="3"/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>
      <c r="A643" s="2"/>
      <c r="B643" s="2"/>
      <c r="C643" s="2"/>
      <c r="D643" s="2"/>
      <c r="E643" s="3"/>
      <c r="F643" s="3"/>
      <c r="G643" s="3"/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>
      <c r="A644" s="2"/>
      <c r="B644" s="2"/>
      <c r="C644" s="2"/>
      <c r="D644" s="2"/>
      <c r="E644" s="3"/>
      <c r="F644" s="3"/>
      <c r="G644" s="3"/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>
      <c r="A645" s="2"/>
      <c r="B645" s="2"/>
      <c r="C645" s="2"/>
      <c r="D645" s="2"/>
      <c r="E645" s="3"/>
      <c r="F645" s="3"/>
      <c r="G645" s="3"/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>
      <c r="A646" s="2"/>
      <c r="B646" s="2"/>
      <c r="C646" s="2"/>
      <c r="D646" s="2"/>
      <c r="E646" s="3"/>
      <c r="F646" s="3"/>
      <c r="G646" s="3"/>
      <c r="H646" s="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>
      <c r="A647" s="2"/>
      <c r="B647" s="2"/>
      <c r="C647" s="2"/>
      <c r="D647" s="2"/>
      <c r="E647" s="3"/>
      <c r="F647" s="3"/>
      <c r="G647" s="3"/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>
      <c r="A648" s="2"/>
      <c r="B648" s="2"/>
      <c r="C648" s="2"/>
      <c r="D648" s="2"/>
      <c r="E648" s="3"/>
      <c r="F648" s="3"/>
      <c r="G648" s="3"/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>
      <c r="A649" s="2"/>
      <c r="B649" s="2"/>
      <c r="C649" s="2"/>
      <c r="D649" s="2"/>
      <c r="E649" s="3"/>
      <c r="F649" s="3"/>
      <c r="G649" s="3"/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>
      <c r="A650" s="2"/>
      <c r="B650" s="2"/>
      <c r="C650" s="2"/>
      <c r="D650" s="2"/>
      <c r="E650" s="3"/>
      <c r="F650" s="3"/>
      <c r="G650" s="3"/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>
      <c r="A651" s="2"/>
      <c r="B651" s="2"/>
      <c r="C651" s="2"/>
      <c r="D651" s="2"/>
      <c r="E651" s="3"/>
      <c r="F651" s="3"/>
      <c r="G651" s="3"/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>
      <c r="A652" s="2"/>
      <c r="B652" s="2"/>
      <c r="C652" s="2"/>
      <c r="D652" s="2"/>
      <c r="E652" s="3"/>
      <c r="F652" s="3"/>
      <c r="G652" s="3"/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>
      <c r="A653" s="2"/>
      <c r="B653" s="2"/>
      <c r="C653" s="2"/>
      <c r="D653" s="2"/>
      <c r="E653" s="3"/>
      <c r="F653" s="3"/>
      <c r="G653" s="3"/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>
      <c r="A654" s="2"/>
      <c r="B654" s="2"/>
      <c r="C654" s="2"/>
      <c r="D654" s="2"/>
      <c r="E654" s="3"/>
      <c r="F654" s="3"/>
      <c r="G654" s="3"/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>
      <c r="A655" s="2"/>
      <c r="B655" s="2"/>
      <c r="C655" s="2"/>
      <c r="D655" s="2"/>
      <c r="E655" s="3"/>
      <c r="F655" s="3"/>
      <c r="G655" s="3"/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>
      <c r="A656" s="2"/>
      <c r="B656" s="2"/>
      <c r="C656" s="2"/>
      <c r="D656" s="2"/>
      <c r="E656" s="3"/>
      <c r="F656" s="3"/>
      <c r="G656" s="3"/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>
      <c r="A657" s="2"/>
      <c r="B657" s="2"/>
      <c r="C657" s="2"/>
      <c r="D657" s="2"/>
      <c r="E657" s="3"/>
      <c r="F657" s="3"/>
      <c r="G657" s="3"/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>
      <c r="A658" s="2"/>
      <c r="B658" s="2"/>
      <c r="C658" s="2"/>
      <c r="D658" s="2"/>
      <c r="E658" s="3"/>
      <c r="F658" s="3"/>
      <c r="G658" s="3"/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>
      <c r="A659" s="2"/>
      <c r="B659" s="2"/>
      <c r="C659" s="2"/>
      <c r="D659" s="2"/>
      <c r="E659" s="3"/>
      <c r="F659" s="3"/>
      <c r="G659" s="3"/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>
      <c r="A660" s="2"/>
      <c r="B660" s="2"/>
      <c r="C660" s="2"/>
      <c r="D660" s="2"/>
      <c r="E660" s="3"/>
      <c r="F660" s="3"/>
      <c r="G660" s="3"/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>
      <c r="A661" s="2"/>
      <c r="B661" s="2"/>
      <c r="C661" s="2"/>
      <c r="D661" s="2"/>
      <c r="E661" s="3"/>
      <c r="F661" s="3"/>
      <c r="G661" s="3"/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>
      <c r="A662" s="2"/>
      <c r="B662" s="2"/>
      <c r="C662" s="2"/>
      <c r="D662" s="2"/>
      <c r="E662" s="3"/>
      <c r="F662" s="3"/>
      <c r="G662" s="3"/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>
      <c r="A663" s="2"/>
      <c r="B663" s="2"/>
      <c r="C663" s="2"/>
      <c r="D663" s="2"/>
      <c r="E663" s="3"/>
      <c r="F663" s="3"/>
      <c r="G663" s="3"/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>
      <c r="A664" s="2"/>
      <c r="B664" s="2"/>
      <c r="C664" s="2"/>
      <c r="D664" s="2"/>
      <c r="E664" s="3"/>
      <c r="F664" s="3"/>
      <c r="G664" s="3"/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>
      <c r="A665" s="2"/>
      <c r="B665" s="2"/>
      <c r="C665" s="2"/>
      <c r="D665" s="2"/>
      <c r="E665" s="3"/>
      <c r="F665" s="3"/>
      <c r="G665" s="3"/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>
      <c r="A666" s="2"/>
      <c r="B666" s="2"/>
      <c r="C666" s="2"/>
      <c r="D666" s="2"/>
      <c r="E666" s="3"/>
      <c r="F666" s="3"/>
      <c r="G666" s="3"/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>
      <c r="A667" s="2"/>
      <c r="B667" s="2"/>
      <c r="C667" s="2"/>
      <c r="D667" s="2"/>
      <c r="E667" s="3"/>
      <c r="F667" s="3"/>
      <c r="G667" s="3"/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>
      <c r="A668" s="2"/>
      <c r="B668" s="2"/>
      <c r="C668" s="2"/>
      <c r="D668" s="2"/>
      <c r="E668" s="3"/>
      <c r="F668" s="3"/>
      <c r="G668" s="3"/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>
      <c r="A669" s="2"/>
      <c r="B669" s="2"/>
      <c r="C669" s="2"/>
      <c r="D669" s="2"/>
      <c r="E669" s="3"/>
      <c r="F669" s="3"/>
      <c r="G669" s="3"/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>
      <c r="A670" s="2"/>
      <c r="B670" s="2"/>
      <c r="C670" s="2"/>
      <c r="D670" s="2"/>
      <c r="E670" s="3"/>
      <c r="F670" s="3"/>
      <c r="G670" s="3"/>
      <c r="H670" s="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>
      <c r="A671" s="2"/>
      <c r="B671" s="2"/>
      <c r="C671" s="2"/>
      <c r="D671" s="2"/>
      <c r="E671" s="3"/>
      <c r="F671" s="3"/>
      <c r="G671" s="3"/>
      <c r="H671" s="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>
      <c r="A672" s="2"/>
      <c r="B672" s="2"/>
      <c r="C672" s="2"/>
      <c r="D672" s="2"/>
      <c r="E672" s="3"/>
      <c r="F672" s="3"/>
      <c r="G672" s="3"/>
      <c r="H672" s="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>
      <c r="A673" s="2"/>
      <c r="B673" s="2"/>
      <c r="C673" s="2"/>
      <c r="D673" s="2"/>
      <c r="E673" s="3"/>
      <c r="F673" s="3"/>
      <c r="G673" s="3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>
      <c r="A674" s="2"/>
      <c r="B674" s="2"/>
      <c r="C674" s="2"/>
      <c r="D674" s="2"/>
      <c r="E674" s="3"/>
      <c r="F674" s="3"/>
      <c r="G674" s="3"/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>
      <c r="A675" s="2"/>
      <c r="B675" s="2"/>
      <c r="C675" s="2"/>
      <c r="D675" s="2"/>
      <c r="E675" s="3"/>
      <c r="F675" s="3"/>
      <c r="G675" s="3"/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>
      <c r="A676" s="2"/>
      <c r="B676" s="2"/>
      <c r="C676" s="2"/>
      <c r="D676" s="2"/>
      <c r="E676" s="3"/>
      <c r="F676" s="3"/>
      <c r="G676" s="3"/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>
      <c r="A677" s="2"/>
      <c r="B677" s="2"/>
      <c r="C677" s="2"/>
      <c r="D677" s="2"/>
      <c r="E677" s="3"/>
      <c r="F677" s="3"/>
      <c r="G677" s="3"/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>
      <c r="A678" s="2"/>
      <c r="B678" s="2"/>
      <c r="C678" s="2"/>
      <c r="D678" s="2"/>
      <c r="E678" s="3"/>
      <c r="F678" s="3"/>
      <c r="G678" s="3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>
      <c r="A679" s="2"/>
      <c r="B679" s="2"/>
      <c r="C679" s="2"/>
      <c r="D679" s="2"/>
      <c r="E679" s="3"/>
      <c r="F679" s="3"/>
      <c r="G679" s="3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>
      <c r="A680" s="2"/>
      <c r="B680" s="2"/>
      <c r="C680" s="2"/>
      <c r="D680" s="2"/>
      <c r="E680" s="3"/>
      <c r="F680" s="3"/>
      <c r="G680" s="3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>
      <c r="A681" s="2"/>
      <c r="B681" s="2"/>
      <c r="C681" s="2"/>
      <c r="D681" s="2"/>
      <c r="E681" s="3"/>
      <c r="F681" s="3"/>
      <c r="G681" s="3"/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>
      <c r="A682" s="2"/>
      <c r="B682" s="2"/>
      <c r="C682" s="2"/>
      <c r="D682" s="2"/>
      <c r="E682" s="3"/>
      <c r="F682" s="3"/>
      <c r="G682" s="3"/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>
      <c r="A683" s="2"/>
      <c r="B683" s="2"/>
      <c r="C683" s="2"/>
      <c r="D683" s="2"/>
      <c r="E683" s="3"/>
      <c r="F683" s="3"/>
      <c r="G683" s="3"/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>
      <c r="A684" s="2"/>
      <c r="B684" s="2"/>
      <c r="C684" s="2"/>
      <c r="D684" s="2"/>
      <c r="E684" s="3"/>
      <c r="F684" s="3"/>
      <c r="G684" s="3"/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>
      <c r="A685" s="2"/>
      <c r="B685" s="2"/>
      <c r="C685" s="2"/>
      <c r="D685" s="2"/>
      <c r="E685" s="3"/>
      <c r="F685" s="3"/>
      <c r="G685" s="3"/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>
      <c r="A686" s="2"/>
      <c r="B686" s="2"/>
      <c r="C686" s="2"/>
      <c r="D686" s="2"/>
      <c r="E686" s="3"/>
      <c r="F686" s="3"/>
      <c r="G686" s="3"/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>
      <c r="A687" s="2"/>
      <c r="B687" s="2"/>
      <c r="C687" s="2"/>
      <c r="D687" s="2"/>
      <c r="E687" s="3"/>
      <c r="F687" s="3"/>
      <c r="G687" s="3"/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>
      <c r="A688" s="2"/>
      <c r="B688" s="2"/>
      <c r="C688" s="2"/>
      <c r="D688" s="2"/>
      <c r="E688" s="3"/>
      <c r="F688" s="3"/>
      <c r="G688" s="3"/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>
      <c r="A689" s="2"/>
      <c r="B689" s="2"/>
      <c r="C689" s="2"/>
      <c r="D689" s="2"/>
      <c r="E689" s="3"/>
      <c r="F689" s="3"/>
      <c r="G689" s="3"/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>
      <c r="A690" s="2"/>
      <c r="B690" s="2"/>
      <c r="C690" s="2"/>
      <c r="D690" s="2"/>
      <c r="E690" s="3"/>
      <c r="F690" s="3"/>
      <c r="G690" s="3"/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>
      <c r="A691" s="2"/>
      <c r="B691" s="2"/>
      <c r="C691" s="2"/>
      <c r="D691" s="2"/>
      <c r="E691" s="3"/>
      <c r="F691" s="3"/>
      <c r="G691" s="3"/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>
      <c r="A692" s="2"/>
      <c r="B692" s="2"/>
      <c r="C692" s="2"/>
      <c r="D692" s="2"/>
      <c r="E692" s="3"/>
      <c r="F692" s="3"/>
      <c r="G692" s="3"/>
      <c r="H692" s="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>
      <c r="A693" s="2"/>
      <c r="B693" s="2"/>
      <c r="C693" s="2"/>
      <c r="D693" s="2"/>
      <c r="E693" s="3"/>
      <c r="F693" s="3"/>
      <c r="G693" s="3"/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>
      <c r="A694" s="2"/>
      <c r="B694" s="2"/>
      <c r="C694" s="2"/>
      <c r="D694" s="2"/>
      <c r="E694" s="3"/>
      <c r="F694" s="3"/>
      <c r="G694" s="3"/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>
      <c r="A695" s="2"/>
      <c r="B695" s="2"/>
      <c r="C695" s="2"/>
      <c r="D695" s="2"/>
      <c r="E695" s="3"/>
      <c r="F695" s="3"/>
      <c r="G695" s="3"/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>
      <c r="A696" s="2"/>
      <c r="B696" s="2"/>
      <c r="C696" s="2"/>
      <c r="D696" s="2"/>
      <c r="E696" s="3"/>
      <c r="F696" s="3"/>
      <c r="G696" s="3"/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>
      <c r="A697" s="2"/>
      <c r="B697" s="2"/>
      <c r="C697" s="2"/>
      <c r="D697" s="2"/>
      <c r="E697" s="3"/>
      <c r="F697" s="3"/>
      <c r="G697" s="3"/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>
      <c r="A698" s="2"/>
      <c r="B698" s="2"/>
      <c r="C698" s="2"/>
      <c r="D698" s="2"/>
      <c r="E698" s="3"/>
      <c r="F698" s="3"/>
      <c r="G698" s="3"/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>
      <c r="A699" s="2"/>
      <c r="B699" s="2"/>
      <c r="C699" s="2"/>
      <c r="D699" s="2"/>
      <c r="E699" s="3"/>
      <c r="F699" s="3"/>
      <c r="G699" s="3"/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>
      <c r="A700" s="2"/>
      <c r="B700" s="2"/>
      <c r="C700" s="2"/>
      <c r="D700" s="2"/>
      <c r="E700" s="3"/>
      <c r="F700" s="3"/>
      <c r="G700" s="3"/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>
      <c r="A701" s="2"/>
      <c r="B701" s="2"/>
      <c r="C701" s="2"/>
      <c r="D701" s="2"/>
      <c r="E701" s="3"/>
      <c r="F701" s="3"/>
      <c r="G701" s="3"/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>
      <c r="A702" s="2"/>
      <c r="B702" s="2"/>
      <c r="C702" s="2"/>
      <c r="D702" s="2"/>
      <c r="E702" s="3"/>
      <c r="F702" s="3"/>
      <c r="G702" s="3"/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>
      <c r="A703" s="2"/>
      <c r="B703" s="2"/>
      <c r="C703" s="2"/>
      <c r="D703" s="2"/>
      <c r="E703" s="3"/>
      <c r="F703" s="3"/>
      <c r="G703" s="3"/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>
      <c r="A704" s="2"/>
      <c r="B704" s="2"/>
      <c r="C704" s="2"/>
      <c r="D704" s="2"/>
      <c r="E704" s="3"/>
      <c r="F704" s="3"/>
      <c r="G704" s="3"/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>
      <c r="A705" s="2"/>
      <c r="B705" s="2"/>
      <c r="C705" s="2"/>
      <c r="D705" s="2"/>
      <c r="E705" s="3"/>
      <c r="F705" s="3"/>
      <c r="G705" s="3"/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>
      <c r="A706" s="2"/>
      <c r="B706" s="2"/>
      <c r="C706" s="2"/>
      <c r="D706" s="2"/>
      <c r="E706" s="3"/>
      <c r="F706" s="3"/>
      <c r="G706" s="3"/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>
      <c r="A707" s="2"/>
      <c r="B707" s="2"/>
      <c r="C707" s="2"/>
      <c r="D707" s="2"/>
      <c r="E707" s="3"/>
      <c r="F707" s="3"/>
      <c r="G707" s="3"/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>
      <c r="A708" s="2"/>
      <c r="B708" s="2"/>
      <c r="C708" s="2"/>
      <c r="D708" s="2"/>
      <c r="E708" s="3"/>
      <c r="F708" s="3"/>
      <c r="G708" s="3"/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>
      <c r="A709" s="2"/>
      <c r="B709" s="2"/>
      <c r="C709" s="2"/>
      <c r="D709" s="2"/>
      <c r="E709" s="3"/>
      <c r="F709" s="3"/>
      <c r="G709" s="3"/>
      <c r="H709" s="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>
      <c r="A710" s="2"/>
      <c r="B710" s="2"/>
      <c r="C710" s="2"/>
      <c r="D710" s="2"/>
      <c r="E710" s="3"/>
      <c r="F710" s="3"/>
      <c r="G710" s="3"/>
      <c r="H710" s="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>
      <c r="A711" s="2"/>
      <c r="B711" s="2"/>
      <c r="C711" s="2"/>
      <c r="D711" s="2"/>
      <c r="E711" s="3"/>
      <c r="F711" s="3"/>
      <c r="G711" s="3"/>
      <c r="H711" s="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>
      <c r="A712" s="2"/>
      <c r="B712" s="2"/>
      <c r="C712" s="2"/>
      <c r="D712" s="2"/>
      <c r="E712" s="3"/>
      <c r="F712" s="3"/>
      <c r="G712" s="3"/>
      <c r="H712" s="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>
      <c r="A713" s="2"/>
      <c r="B713" s="2"/>
      <c r="C713" s="2"/>
      <c r="D713" s="2"/>
      <c r="E713" s="3"/>
      <c r="F713" s="3"/>
      <c r="G713" s="3"/>
      <c r="H713" s="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>
      <c r="A714" s="2"/>
      <c r="B714" s="2"/>
      <c r="C714" s="2"/>
      <c r="D714" s="2"/>
      <c r="E714" s="3"/>
      <c r="F714" s="3"/>
      <c r="G714" s="3"/>
      <c r="H714" s="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>
      <c r="A715" s="2"/>
      <c r="B715" s="2"/>
      <c r="C715" s="2"/>
      <c r="D715" s="2"/>
      <c r="E715" s="3"/>
      <c r="F715" s="3"/>
      <c r="G715" s="3"/>
      <c r="H715" s="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>
      <c r="A716" s="2"/>
      <c r="B716" s="2"/>
      <c r="C716" s="2"/>
      <c r="D716" s="2"/>
      <c r="E716" s="3"/>
      <c r="F716" s="3"/>
      <c r="G716" s="3"/>
      <c r="H716" s="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>
      <c r="A717" s="2"/>
      <c r="B717" s="2"/>
      <c r="C717" s="2"/>
      <c r="D717" s="2"/>
      <c r="E717" s="3"/>
      <c r="F717" s="3"/>
      <c r="G717" s="3"/>
      <c r="H717" s="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>
      <c r="A718" s="2"/>
      <c r="B718" s="2"/>
      <c r="C718" s="2"/>
      <c r="D718" s="2"/>
      <c r="E718" s="3"/>
      <c r="F718" s="3"/>
      <c r="G718" s="3"/>
      <c r="H718" s="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>
      <c r="A719" s="2"/>
      <c r="B719" s="2"/>
      <c r="C719" s="2"/>
      <c r="D719" s="2"/>
      <c r="E719" s="3"/>
      <c r="F719" s="3"/>
      <c r="G719" s="3"/>
      <c r="H719" s="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>
      <c r="A720" s="2"/>
      <c r="B720" s="2"/>
      <c r="C720" s="2"/>
      <c r="D720" s="2"/>
      <c r="E720" s="3"/>
      <c r="F720" s="3"/>
      <c r="G720" s="3"/>
      <c r="H720" s="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>
      <c r="A721" s="2"/>
      <c r="B721" s="2"/>
      <c r="C721" s="2"/>
      <c r="D721" s="2"/>
      <c r="E721" s="3"/>
      <c r="F721" s="3"/>
      <c r="G721" s="3"/>
      <c r="H721" s="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>
      <c r="A722" s="2"/>
      <c r="B722" s="2"/>
      <c r="C722" s="2"/>
      <c r="D722" s="2"/>
      <c r="E722" s="3"/>
      <c r="F722" s="3"/>
      <c r="G722" s="3"/>
      <c r="H722" s="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>
      <c r="A723" s="2"/>
      <c r="B723" s="2"/>
      <c r="C723" s="2"/>
      <c r="D723" s="2"/>
      <c r="E723" s="3"/>
      <c r="F723" s="3"/>
      <c r="G723" s="3"/>
      <c r="H723" s="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>
      <c r="A724" s="2"/>
      <c r="B724" s="2"/>
      <c r="C724" s="2"/>
      <c r="D724" s="2"/>
      <c r="E724" s="3"/>
      <c r="F724" s="3"/>
      <c r="G724" s="3"/>
      <c r="H724" s="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>
      <c r="A725" s="2"/>
      <c r="B725" s="2"/>
      <c r="C725" s="2"/>
      <c r="D725" s="2"/>
      <c r="E725" s="3"/>
      <c r="F725" s="3"/>
      <c r="G725" s="3"/>
      <c r="H725" s="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>
      <c r="A726" s="2"/>
      <c r="B726" s="2"/>
      <c r="C726" s="2"/>
      <c r="D726" s="2"/>
      <c r="E726" s="3"/>
      <c r="F726" s="3"/>
      <c r="G726" s="3"/>
      <c r="H726" s="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>
      <c r="A727" s="2"/>
      <c r="B727" s="2"/>
      <c r="C727" s="2"/>
      <c r="D727" s="2"/>
      <c r="E727" s="3"/>
      <c r="F727" s="3"/>
      <c r="G727" s="3"/>
      <c r="H727" s="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>
      <c r="A728" s="2"/>
      <c r="B728" s="2"/>
      <c r="C728" s="2"/>
      <c r="D728" s="2"/>
      <c r="E728" s="3"/>
      <c r="F728" s="3"/>
      <c r="G728" s="3"/>
      <c r="H728" s="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>
      <c r="A729" s="2"/>
      <c r="B729" s="2"/>
      <c r="C729" s="2"/>
      <c r="D729" s="2"/>
      <c r="E729" s="3"/>
      <c r="F729" s="3"/>
      <c r="G729" s="3"/>
      <c r="H729" s="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>
      <c r="A730" s="2"/>
      <c r="B730" s="2"/>
      <c r="C730" s="2"/>
      <c r="D730" s="2"/>
      <c r="E730" s="3"/>
      <c r="F730" s="3"/>
      <c r="G730" s="3"/>
      <c r="H730" s="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>
      <c r="A731" s="2"/>
      <c r="B731" s="2"/>
      <c r="C731" s="2"/>
      <c r="D731" s="2"/>
      <c r="E731" s="3"/>
      <c r="F731" s="3"/>
      <c r="G731" s="3"/>
      <c r="H731" s="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>
      <c r="A732" s="2"/>
      <c r="B732" s="2"/>
      <c r="C732" s="2"/>
      <c r="D732" s="2"/>
      <c r="E732" s="3"/>
      <c r="F732" s="3"/>
      <c r="G732" s="3"/>
      <c r="H732" s="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>
      <c r="A733" s="2"/>
      <c r="B733" s="2"/>
      <c r="C733" s="2"/>
      <c r="D733" s="2"/>
      <c r="E733" s="3"/>
      <c r="F733" s="3"/>
      <c r="G733" s="3"/>
      <c r="H733" s="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>
      <c r="A734" s="2"/>
      <c r="B734" s="2"/>
      <c r="C734" s="2"/>
      <c r="D734" s="2"/>
      <c r="E734" s="3"/>
      <c r="F734" s="3"/>
      <c r="G734" s="3"/>
      <c r="H734" s="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>
      <c r="A735" s="2"/>
      <c r="B735" s="2"/>
      <c r="C735" s="2"/>
      <c r="D735" s="2"/>
      <c r="E735" s="3"/>
      <c r="F735" s="3"/>
      <c r="G735" s="3"/>
      <c r="H735" s="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>
      <c r="A736" s="2"/>
      <c r="B736" s="2"/>
      <c r="C736" s="2"/>
      <c r="D736" s="2"/>
      <c r="E736" s="3"/>
      <c r="F736" s="3"/>
      <c r="G736" s="3"/>
      <c r="H736" s="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>
      <c r="A737" s="2"/>
      <c r="B737" s="2"/>
      <c r="C737" s="2"/>
      <c r="D737" s="2"/>
      <c r="E737" s="3"/>
      <c r="F737" s="3"/>
      <c r="G737" s="3"/>
      <c r="H737" s="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>
      <c r="A738" s="2"/>
      <c r="B738" s="2"/>
      <c r="C738" s="2"/>
      <c r="D738" s="2"/>
      <c r="E738" s="3"/>
      <c r="F738" s="3"/>
      <c r="G738" s="3"/>
      <c r="H738" s="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>
      <c r="A739" s="2"/>
      <c r="B739" s="2"/>
      <c r="C739" s="2"/>
      <c r="D739" s="2"/>
      <c r="E739" s="3"/>
      <c r="F739" s="3"/>
      <c r="G739" s="3"/>
      <c r="H739" s="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>
      <c r="A740" s="2"/>
      <c r="B740" s="2"/>
      <c r="C740" s="2"/>
      <c r="D740" s="2"/>
      <c r="E740" s="3"/>
      <c r="F740" s="3"/>
      <c r="G740" s="3"/>
      <c r="H740" s="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>
      <c r="A741" s="2"/>
      <c r="B741" s="2"/>
      <c r="C741" s="2"/>
      <c r="D741" s="2"/>
      <c r="E741" s="3"/>
      <c r="F741" s="3"/>
      <c r="G741" s="3"/>
      <c r="H741" s="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>
      <c r="A742" s="2"/>
      <c r="B742" s="2"/>
      <c r="C742" s="2"/>
      <c r="D742" s="2"/>
      <c r="E742" s="3"/>
      <c r="F742" s="3"/>
      <c r="G742" s="3"/>
      <c r="H742" s="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>
      <c r="A743" s="2"/>
      <c r="B743" s="2"/>
      <c r="C743" s="2"/>
      <c r="D743" s="2"/>
      <c r="E743" s="3"/>
      <c r="F743" s="3"/>
      <c r="G743" s="3"/>
      <c r="H743" s="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>
      <c r="A744" s="2"/>
      <c r="B744" s="2"/>
      <c r="C744" s="2"/>
      <c r="D744" s="2"/>
      <c r="E744" s="3"/>
      <c r="F744" s="3"/>
      <c r="G744" s="3"/>
      <c r="H744" s="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>
      <c r="A745" s="2"/>
      <c r="B745" s="2"/>
      <c r="C745" s="2"/>
      <c r="D745" s="2"/>
      <c r="E745" s="3"/>
      <c r="F745" s="3"/>
      <c r="G745" s="3"/>
      <c r="H745" s="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>
      <c r="A746" s="2"/>
      <c r="B746" s="2"/>
      <c r="C746" s="2"/>
      <c r="D746" s="2"/>
      <c r="E746" s="3"/>
      <c r="F746" s="3"/>
      <c r="G746" s="3"/>
      <c r="H746" s="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>
      <c r="A747" s="2"/>
      <c r="B747" s="2"/>
      <c r="C747" s="2"/>
      <c r="D747" s="2"/>
      <c r="E747" s="3"/>
      <c r="F747" s="3"/>
      <c r="G747" s="3"/>
      <c r="H747" s="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>
      <c r="A748" s="2"/>
      <c r="B748" s="2"/>
      <c r="C748" s="2"/>
      <c r="D748" s="2"/>
      <c r="E748" s="3"/>
      <c r="F748" s="3"/>
      <c r="G748" s="3"/>
      <c r="H748" s="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>
      <c r="A749" s="2"/>
      <c r="B749" s="2"/>
      <c r="C749" s="2"/>
      <c r="D749" s="2"/>
      <c r="E749" s="3"/>
      <c r="F749" s="3"/>
      <c r="G749" s="3"/>
      <c r="H749" s="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>
      <c r="A750" s="2"/>
      <c r="B750" s="2"/>
      <c r="C750" s="2"/>
      <c r="D750" s="2"/>
      <c r="E750" s="3"/>
      <c r="F750" s="3"/>
      <c r="G750" s="3"/>
      <c r="H750" s="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>
      <c r="A751" s="2"/>
      <c r="B751" s="2"/>
      <c r="C751" s="2"/>
      <c r="D751" s="2"/>
      <c r="E751" s="3"/>
      <c r="F751" s="3"/>
      <c r="G751" s="3"/>
      <c r="H751" s="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>
      <c r="A752" s="2"/>
      <c r="B752" s="2"/>
      <c r="C752" s="2"/>
      <c r="D752" s="2"/>
      <c r="E752" s="3"/>
      <c r="F752" s="3"/>
      <c r="G752" s="3"/>
      <c r="H752" s="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>
      <c r="A753" s="2"/>
      <c r="B753" s="2"/>
      <c r="C753" s="2"/>
      <c r="D753" s="2"/>
      <c r="E753" s="3"/>
      <c r="F753" s="3"/>
      <c r="G753" s="3"/>
      <c r="H753" s="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>
      <c r="A754" s="2"/>
      <c r="B754" s="2"/>
      <c r="C754" s="2"/>
      <c r="D754" s="2"/>
      <c r="E754" s="3"/>
      <c r="F754" s="3"/>
      <c r="G754" s="3"/>
      <c r="H754" s="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>
      <c r="A755" s="2"/>
      <c r="B755" s="2"/>
      <c r="C755" s="2"/>
      <c r="D755" s="2"/>
      <c r="E755" s="3"/>
      <c r="F755" s="3"/>
      <c r="G755" s="3"/>
      <c r="H755" s="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>
      <c r="A756" s="2"/>
      <c r="B756" s="2"/>
      <c r="C756" s="2"/>
      <c r="D756" s="2"/>
      <c r="E756" s="3"/>
      <c r="F756" s="3"/>
      <c r="G756" s="3"/>
      <c r="H756" s="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>
      <c r="A757" s="2"/>
      <c r="B757" s="2"/>
      <c r="C757" s="2"/>
      <c r="D757" s="2"/>
      <c r="E757" s="3"/>
      <c r="F757" s="3"/>
      <c r="G757" s="3"/>
      <c r="H757" s="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>
      <c r="A758" s="2"/>
      <c r="B758" s="2"/>
      <c r="C758" s="2"/>
      <c r="D758" s="2"/>
      <c r="E758" s="3"/>
      <c r="F758" s="3"/>
      <c r="G758" s="3"/>
      <c r="H758" s="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>
      <c r="A759" s="2"/>
      <c r="B759" s="2"/>
      <c r="C759" s="2"/>
      <c r="D759" s="2"/>
      <c r="E759" s="3"/>
      <c r="F759" s="3"/>
      <c r="G759" s="3"/>
      <c r="H759" s="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>
      <c r="A760" s="2"/>
      <c r="B760" s="2"/>
      <c r="C760" s="2"/>
      <c r="D760" s="2"/>
      <c r="E760" s="3"/>
      <c r="F760" s="3"/>
      <c r="G760" s="3"/>
      <c r="H760" s="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>
      <c r="A761" s="2"/>
      <c r="B761" s="2"/>
      <c r="C761" s="2"/>
      <c r="D761" s="2"/>
      <c r="E761" s="3"/>
      <c r="F761" s="3"/>
      <c r="G761" s="3"/>
      <c r="H761" s="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>
      <c r="A762" s="2"/>
      <c r="B762" s="2"/>
      <c r="C762" s="2"/>
      <c r="D762" s="2"/>
      <c r="E762" s="3"/>
      <c r="F762" s="3"/>
      <c r="G762" s="3"/>
      <c r="H762" s="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>
      <c r="A763" s="2"/>
      <c r="B763" s="2"/>
      <c r="C763" s="2"/>
      <c r="D763" s="2"/>
      <c r="E763" s="3"/>
      <c r="F763" s="3"/>
      <c r="G763" s="3"/>
      <c r="H763" s="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>
      <c r="A764" s="2"/>
      <c r="B764" s="2"/>
      <c r="C764" s="2"/>
      <c r="D764" s="2"/>
      <c r="E764" s="3"/>
      <c r="F764" s="3"/>
      <c r="G764" s="3"/>
      <c r="H764" s="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>
      <c r="A765" s="2"/>
      <c r="B765" s="2"/>
      <c r="C765" s="2"/>
      <c r="D765" s="2"/>
      <c r="E765" s="3"/>
      <c r="F765" s="3"/>
      <c r="G765" s="3"/>
      <c r="H765" s="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>
      <c r="A766" s="2"/>
      <c r="B766" s="2"/>
      <c r="C766" s="2"/>
      <c r="D766" s="2"/>
      <c r="E766" s="3"/>
      <c r="F766" s="3"/>
      <c r="G766" s="3"/>
      <c r="H766" s="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>
      <c r="A767" s="2"/>
      <c r="B767" s="2"/>
      <c r="C767" s="2"/>
      <c r="D767" s="2"/>
      <c r="E767" s="3"/>
      <c r="F767" s="3"/>
      <c r="G767" s="3"/>
      <c r="H767" s="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>
      <c r="A768" s="2"/>
      <c r="B768" s="2"/>
      <c r="C768" s="2"/>
      <c r="D768" s="2"/>
      <c r="E768" s="3"/>
      <c r="F768" s="3"/>
      <c r="G768" s="3"/>
      <c r="H768" s="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>
      <c r="A769" s="2"/>
      <c r="B769" s="2"/>
      <c r="C769" s="2"/>
      <c r="D769" s="2"/>
      <c r="E769" s="3"/>
      <c r="F769" s="3"/>
      <c r="G769" s="3"/>
      <c r="H769" s="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>
      <c r="A770" s="2"/>
      <c r="B770" s="2"/>
      <c r="C770" s="2"/>
      <c r="D770" s="2"/>
      <c r="E770" s="3"/>
      <c r="F770" s="3"/>
      <c r="G770" s="3"/>
      <c r="H770" s="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>
      <c r="A771" s="2"/>
      <c r="B771" s="2"/>
      <c r="C771" s="2"/>
      <c r="D771" s="2"/>
      <c r="E771" s="3"/>
      <c r="F771" s="3"/>
      <c r="G771" s="3"/>
      <c r="H771" s="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>
      <c r="A772" s="2"/>
      <c r="B772" s="2"/>
      <c r="C772" s="2"/>
      <c r="D772" s="2"/>
      <c r="E772" s="3"/>
      <c r="F772" s="3"/>
      <c r="G772" s="3"/>
      <c r="H772" s="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>
      <c r="A773" s="2"/>
      <c r="B773" s="2"/>
      <c r="C773" s="2"/>
      <c r="D773" s="2"/>
      <c r="E773" s="3"/>
      <c r="F773" s="3"/>
      <c r="G773" s="3"/>
      <c r="H773" s="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>
      <c r="A774" s="2"/>
      <c r="B774" s="2"/>
      <c r="C774" s="2"/>
      <c r="D774" s="2"/>
      <c r="E774" s="3"/>
      <c r="F774" s="3"/>
      <c r="G774" s="3"/>
      <c r="H774" s="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>
      <c r="A775" s="2"/>
      <c r="B775" s="2"/>
      <c r="C775" s="2"/>
      <c r="D775" s="2"/>
      <c r="E775" s="3"/>
      <c r="F775" s="3"/>
      <c r="G775" s="3"/>
      <c r="H775" s="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>
      <c r="A776" s="2"/>
      <c r="B776" s="2"/>
      <c r="C776" s="2"/>
      <c r="D776" s="2"/>
      <c r="E776" s="3"/>
      <c r="F776" s="3"/>
      <c r="G776" s="3"/>
      <c r="H776" s="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>
      <c r="A777" s="2"/>
      <c r="B777" s="2"/>
      <c r="C777" s="2"/>
      <c r="D777" s="2"/>
      <c r="E777" s="3"/>
      <c r="F777" s="3"/>
      <c r="G777" s="3"/>
      <c r="H777" s="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>
      <c r="A778" s="2"/>
      <c r="B778" s="2"/>
      <c r="C778" s="2"/>
      <c r="D778" s="2"/>
      <c r="E778" s="3"/>
      <c r="F778" s="3"/>
      <c r="G778" s="3"/>
      <c r="H778" s="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>
      <c r="A779" s="2"/>
      <c r="B779" s="2"/>
      <c r="C779" s="2"/>
      <c r="D779" s="2"/>
      <c r="E779" s="3"/>
      <c r="F779" s="3"/>
      <c r="G779" s="3"/>
      <c r="H779" s="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>
      <c r="A780" s="2"/>
      <c r="B780" s="2"/>
      <c r="C780" s="2"/>
      <c r="D780" s="2"/>
      <c r="E780" s="3"/>
      <c r="F780" s="3"/>
      <c r="G780" s="3"/>
      <c r="H780" s="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>
      <c r="A781" s="2"/>
      <c r="B781" s="2"/>
      <c r="C781" s="2"/>
      <c r="D781" s="2"/>
      <c r="E781" s="3"/>
      <c r="F781" s="3"/>
      <c r="G781" s="3"/>
      <c r="H781" s="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>
      <c r="A782" s="2"/>
      <c r="B782" s="2"/>
      <c r="C782" s="2"/>
      <c r="D782" s="2"/>
      <c r="E782" s="3"/>
      <c r="F782" s="3"/>
      <c r="G782" s="3"/>
      <c r="H782" s="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>
      <c r="A783" s="2"/>
      <c r="B783" s="2"/>
      <c r="C783" s="2"/>
      <c r="D783" s="2"/>
      <c r="E783" s="3"/>
      <c r="F783" s="3"/>
      <c r="G783" s="3"/>
      <c r="H783" s="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>
      <c r="A784" s="2"/>
      <c r="B784" s="2"/>
      <c r="C784" s="2"/>
      <c r="D784" s="2"/>
      <c r="E784" s="3"/>
      <c r="F784" s="3"/>
      <c r="G784" s="3"/>
      <c r="H784" s="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>
      <c r="A785" s="2"/>
      <c r="B785" s="2"/>
      <c r="C785" s="2"/>
      <c r="D785" s="2"/>
      <c r="E785" s="3"/>
      <c r="F785" s="3"/>
      <c r="G785" s="3"/>
      <c r="H785" s="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>
      <c r="A786" s="2"/>
      <c r="B786" s="2"/>
      <c r="C786" s="2"/>
      <c r="D786" s="2"/>
      <c r="E786" s="3"/>
      <c r="F786" s="3"/>
      <c r="G786" s="3"/>
      <c r="H786" s="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>
      <c r="A787" s="2"/>
      <c r="B787" s="2"/>
      <c r="C787" s="2"/>
      <c r="D787" s="2"/>
      <c r="E787" s="3"/>
      <c r="F787" s="3"/>
      <c r="G787" s="3"/>
      <c r="H787" s="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>
      <c r="A788" s="2"/>
      <c r="B788" s="2"/>
      <c r="C788" s="2"/>
      <c r="D788" s="2"/>
      <c r="E788" s="3"/>
      <c r="F788" s="3"/>
      <c r="G788" s="3"/>
      <c r="H788" s="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>
      <c r="A789" s="2"/>
      <c r="B789" s="2"/>
      <c r="C789" s="2"/>
      <c r="D789" s="2"/>
      <c r="E789" s="3"/>
      <c r="F789" s="3"/>
      <c r="G789" s="3"/>
      <c r="H789" s="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>
      <c r="A790" s="2"/>
      <c r="B790" s="2"/>
      <c r="C790" s="2"/>
      <c r="D790" s="2"/>
      <c r="E790" s="3"/>
      <c r="F790" s="3"/>
      <c r="G790" s="3"/>
      <c r="H790" s="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>
      <c r="A791" s="2"/>
      <c r="B791" s="2"/>
      <c r="C791" s="2"/>
      <c r="D791" s="2"/>
      <c r="E791" s="3"/>
      <c r="F791" s="3"/>
      <c r="G791" s="3"/>
      <c r="H791" s="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>
      <c r="A792" s="2"/>
      <c r="B792" s="2"/>
      <c r="C792" s="2"/>
      <c r="D792" s="2"/>
      <c r="E792" s="3"/>
      <c r="F792" s="3"/>
      <c r="G792" s="3"/>
      <c r="H792" s="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>
      <c r="A793" s="2"/>
      <c r="B793" s="2"/>
      <c r="C793" s="2"/>
      <c r="D793" s="2"/>
      <c r="E793" s="3"/>
      <c r="F793" s="3"/>
      <c r="G793" s="3"/>
      <c r="H793" s="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>
      <c r="A794" s="2"/>
      <c r="B794" s="2"/>
      <c r="C794" s="2"/>
      <c r="D794" s="2"/>
      <c r="E794" s="3"/>
      <c r="F794" s="3"/>
      <c r="G794" s="3"/>
      <c r="H794" s="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>
      <c r="A795" s="2"/>
      <c r="B795" s="2"/>
      <c r="C795" s="2"/>
      <c r="D795" s="2"/>
      <c r="E795" s="3"/>
      <c r="F795" s="3"/>
      <c r="G795" s="3"/>
      <c r="H795" s="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>
      <c r="A796" s="2"/>
      <c r="B796" s="2"/>
      <c r="C796" s="2"/>
      <c r="D796" s="2"/>
      <c r="E796" s="3"/>
      <c r="F796" s="3"/>
      <c r="G796" s="3"/>
      <c r="H796" s="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>
      <c r="A797" s="2"/>
      <c r="B797" s="2"/>
      <c r="C797" s="2"/>
      <c r="D797" s="2"/>
      <c r="E797" s="3"/>
      <c r="F797" s="3"/>
      <c r="G797" s="3"/>
      <c r="H797" s="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>
      <c r="A798" s="2"/>
      <c r="B798" s="2"/>
      <c r="C798" s="2"/>
      <c r="D798" s="2"/>
      <c r="E798" s="3"/>
      <c r="F798" s="3"/>
      <c r="G798" s="3"/>
      <c r="H798" s="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>
      <c r="A799" s="2"/>
      <c r="B799" s="2"/>
      <c r="C799" s="2"/>
      <c r="D799" s="2"/>
      <c r="E799" s="3"/>
      <c r="F799" s="3"/>
      <c r="G799" s="3"/>
      <c r="H799" s="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>
      <c r="A800" s="2"/>
      <c r="B800" s="2"/>
      <c r="C800" s="2"/>
      <c r="D800" s="2"/>
      <c r="E800" s="3"/>
      <c r="F800" s="3"/>
      <c r="G800" s="3"/>
      <c r="H800" s="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>
      <c r="A801" s="2"/>
      <c r="B801" s="2"/>
      <c r="C801" s="2"/>
      <c r="D801" s="2"/>
      <c r="E801" s="3"/>
      <c r="F801" s="3"/>
      <c r="G801" s="3"/>
      <c r="H801" s="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>
      <c r="A802" s="2"/>
      <c r="B802" s="2"/>
      <c r="C802" s="2"/>
      <c r="D802" s="2"/>
      <c r="E802" s="3"/>
      <c r="F802" s="3"/>
      <c r="G802" s="3"/>
      <c r="H802" s="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>
      <c r="A803" s="2"/>
      <c r="B803" s="2"/>
      <c r="C803" s="2"/>
      <c r="D803" s="2"/>
      <c r="E803" s="3"/>
      <c r="F803" s="3"/>
      <c r="G803" s="3"/>
      <c r="H803" s="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>
      <c r="A804" s="2"/>
      <c r="B804" s="2"/>
      <c r="C804" s="2"/>
      <c r="D804" s="2"/>
      <c r="E804" s="3"/>
      <c r="F804" s="3"/>
      <c r="G804" s="3"/>
      <c r="H804" s="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>
      <c r="A805" s="2"/>
      <c r="B805" s="2"/>
      <c r="C805" s="2"/>
      <c r="D805" s="2"/>
      <c r="E805" s="3"/>
      <c r="F805" s="3"/>
      <c r="G805" s="3"/>
      <c r="H805" s="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>
      <c r="A806" s="2"/>
      <c r="B806" s="2"/>
      <c r="C806" s="2"/>
      <c r="D806" s="2"/>
      <c r="E806" s="3"/>
      <c r="F806" s="3"/>
      <c r="G806" s="3"/>
      <c r="H806" s="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>
      <c r="A807" s="2"/>
      <c r="B807" s="2"/>
      <c r="C807" s="2"/>
      <c r="D807" s="2"/>
      <c r="E807" s="3"/>
      <c r="F807" s="3"/>
      <c r="G807" s="3"/>
      <c r="H807" s="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>
      <c r="A808" s="2"/>
      <c r="B808" s="2"/>
      <c r="C808" s="2"/>
      <c r="D808" s="2"/>
      <c r="E808" s="3"/>
      <c r="F808" s="3"/>
      <c r="G808" s="3"/>
      <c r="H808" s="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>
      <c r="A809" s="2"/>
      <c r="B809" s="2"/>
      <c r="C809" s="2"/>
      <c r="D809" s="2"/>
      <c r="E809" s="3"/>
      <c r="F809" s="3"/>
      <c r="G809" s="3"/>
      <c r="H809" s="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>
      <c r="A810" s="2"/>
      <c r="B810" s="2"/>
      <c r="C810" s="2"/>
      <c r="D810" s="2"/>
      <c r="E810" s="3"/>
      <c r="F810" s="3"/>
      <c r="G810" s="3"/>
      <c r="H810" s="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>
      <c r="A811" s="2"/>
      <c r="B811" s="2"/>
      <c r="C811" s="2"/>
      <c r="D811" s="2"/>
      <c r="E811" s="3"/>
      <c r="F811" s="3"/>
      <c r="G811" s="3"/>
      <c r="H811" s="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>
      <c r="A812" s="2"/>
      <c r="B812" s="2"/>
      <c r="C812" s="2"/>
      <c r="D812" s="2"/>
      <c r="E812" s="3"/>
      <c r="F812" s="3"/>
      <c r="G812" s="3"/>
      <c r="H812" s="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>
      <c r="A813" s="2"/>
      <c r="B813" s="2"/>
      <c r="C813" s="2"/>
      <c r="D813" s="2"/>
      <c r="E813" s="3"/>
      <c r="F813" s="3"/>
      <c r="G813" s="3"/>
      <c r="H813" s="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>
      <c r="A814" s="2"/>
      <c r="B814" s="2"/>
      <c r="C814" s="2"/>
      <c r="D814" s="2"/>
      <c r="E814" s="3"/>
      <c r="F814" s="3"/>
      <c r="G814" s="3"/>
      <c r="H814" s="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>
      <c r="A815" s="2"/>
      <c r="B815" s="2"/>
      <c r="C815" s="2"/>
      <c r="D815" s="2"/>
      <c r="E815" s="3"/>
      <c r="F815" s="3"/>
      <c r="G815" s="3"/>
      <c r="H815" s="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>
      <c r="A816" s="2"/>
      <c r="B816" s="2"/>
      <c r="C816" s="2"/>
      <c r="D816" s="2"/>
      <c r="E816" s="3"/>
      <c r="F816" s="3"/>
      <c r="G816" s="3"/>
      <c r="H816" s="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>
      <c r="A817" s="2"/>
      <c r="B817" s="2"/>
      <c r="C817" s="2"/>
      <c r="D817" s="2"/>
      <c r="E817" s="3"/>
      <c r="F817" s="3"/>
      <c r="G817" s="3"/>
      <c r="H817" s="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>
      <c r="A818" s="2"/>
      <c r="B818" s="2"/>
      <c r="C818" s="2"/>
      <c r="D818" s="2"/>
      <c r="E818" s="3"/>
      <c r="F818" s="3"/>
      <c r="G818" s="3"/>
      <c r="H818" s="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>
      <c r="A819" s="2"/>
      <c r="B819" s="2"/>
      <c r="C819" s="2"/>
      <c r="D819" s="2"/>
      <c r="E819" s="3"/>
      <c r="F819" s="3"/>
      <c r="G819" s="3"/>
      <c r="H819" s="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>
      <c r="A820" s="2"/>
      <c r="B820" s="2"/>
      <c r="C820" s="2"/>
      <c r="D820" s="2"/>
      <c r="E820" s="3"/>
      <c r="F820" s="3"/>
      <c r="G820" s="3"/>
      <c r="H820" s="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>
      <c r="A821" s="2"/>
      <c r="B821" s="2"/>
      <c r="C821" s="2"/>
      <c r="D821" s="2"/>
      <c r="E821" s="3"/>
      <c r="F821" s="3"/>
      <c r="G821" s="3"/>
      <c r="H821" s="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>
      <c r="A822" s="2"/>
      <c r="B822" s="2"/>
      <c r="C822" s="2"/>
      <c r="D822" s="2"/>
      <c r="E822" s="3"/>
      <c r="F822" s="3"/>
      <c r="G822" s="3"/>
      <c r="H822" s="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>
      <c r="A823" s="2"/>
      <c r="B823" s="2"/>
      <c r="C823" s="2"/>
      <c r="D823" s="2"/>
      <c r="E823" s="3"/>
      <c r="F823" s="3"/>
      <c r="G823" s="3"/>
      <c r="H823" s="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>
      <c r="A824" s="2"/>
      <c r="B824" s="2"/>
      <c r="C824" s="2"/>
      <c r="D824" s="2"/>
      <c r="E824" s="3"/>
      <c r="F824" s="3"/>
      <c r="G824" s="3"/>
      <c r="H824" s="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>
      <c r="A825" s="2"/>
      <c r="B825" s="2"/>
      <c r="C825" s="2"/>
      <c r="D825" s="2"/>
      <c r="E825" s="3"/>
      <c r="F825" s="3"/>
      <c r="G825" s="3"/>
      <c r="H825" s="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>
      <c r="A826" s="2"/>
      <c r="B826" s="2"/>
      <c r="C826" s="2"/>
      <c r="D826" s="2"/>
      <c r="E826" s="3"/>
      <c r="F826" s="3"/>
      <c r="G826" s="3"/>
      <c r="H826" s="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>
      <c r="A827" s="2"/>
      <c r="B827" s="2"/>
      <c r="C827" s="2"/>
      <c r="D827" s="2"/>
      <c r="E827" s="3"/>
      <c r="F827" s="3"/>
      <c r="G827" s="3"/>
      <c r="H827" s="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>
      <c r="A828" s="2"/>
      <c r="B828" s="2"/>
      <c r="C828" s="2"/>
      <c r="D828" s="2"/>
      <c r="E828" s="3"/>
      <c r="F828" s="3"/>
      <c r="G828" s="3"/>
      <c r="H828" s="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>
      <c r="A829" s="2"/>
      <c r="B829" s="2"/>
      <c r="C829" s="2"/>
      <c r="D829" s="2"/>
      <c r="E829" s="3"/>
      <c r="F829" s="3"/>
      <c r="G829" s="3"/>
      <c r="H829" s="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>
      <c r="A830" s="2"/>
      <c r="B830" s="2"/>
      <c r="C830" s="2"/>
      <c r="D830" s="2"/>
      <c r="E830" s="3"/>
      <c r="F830" s="3"/>
      <c r="G830" s="3"/>
      <c r="H830" s="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>
      <c r="A831" s="2"/>
      <c r="B831" s="2"/>
      <c r="C831" s="2"/>
      <c r="D831" s="2"/>
      <c r="E831" s="3"/>
      <c r="F831" s="3"/>
      <c r="G831" s="3"/>
      <c r="H831" s="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>
      <c r="A832" s="2"/>
      <c r="B832" s="2"/>
      <c r="C832" s="2"/>
      <c r="D832" s="2"/>
      <c r="E832" s="3"/>
      <c r="F832" s="3"/>
      <c r="G832" s="3"/>
      <c r="H832" s="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>
      <c r="A833" s="2"/>
      <c r="B833" s="2"/>
      <c r="C833" s="2"/>
      <c r="D833" s="2"/>
      <c r="E833" s="3"/>
      <c r="F833" s="3"/>
      <c r="G833" s="3"/>
      <c r="H833" s="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>
      <c r="A834" s="2"/>
      <c r="B834" s="2"/>
      <c r="C834" s="2"/>
      <c r="D834" s="2"/>
      <c r="E834" s="3"/>
      <c r="F834" s="3"/>
      <c r="G834" s="3"/>
      <c r="H834" s="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>
      <c r="A835" s="2"/>
      <c r="B835" s="2"/>
      <c r="C835" s="2"/>
      <c r="D835" s="2"/>
      <c r="E835" s="3"/>
      <c r="F835" s="3"/>
      <c r="G835" s="3"/>
      <c r="H835" s="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>
      <c r="A836" s="2"/>
      <c r="B836" s="2"/>
      <c r="C836" s="2"/>
      <c r="D836" s="2"/>
      <c r="E836" s="3"/>
      <c r="F836" s="3"/>
      <c r="G836" s="3"/>
      <c r="H836" s="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>
      <c r="A837" s="2"/>
      <c r="B837" s="2"/>
      <c r="C837" s="2"/>
      <c r="D837" s="2"/>
      <c r="E837" s="3"/>
      <c r="F837" s="3"/>
      <c r="G837" s="3"/>
      <c r="H837" s="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>
      <c r="A838" s="2"/>
      <c r="B838" s="2"/>
      <c r="C838" s="2"/>
      <c r="D838" s="2"/>
      <c r="E838" s="3"/>
      <c r="F838" s="3"/>
      <c r="G838" s="3"/>
      <c r="H838" s="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>
      <c r="A839" s="2"/>
      <c r="B839" s="2"/>
      <c r="C839" s="2"/>
      <c r="D839" s="2"/>
      <c r="E839" s="3"/>
      <c r="F839" s="3"/>
      <c r="G839" s="3"/>
      <c r="H839" s="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>
      <c r="A840" s="2"/>
      <c r="B840" s="2"/>
      <c r="C840" s="2"/>
      <c r="D840" s="2"/>
      <c r="E840" s="3"/>
      <c r="F840" s="3"/>
      <c r="G840" s="3"/>
      <c r="H840" s="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>
      <c r="A841" s="2"/>
      <c r="B841" s="2"/>
      <c r="C841" s="2"/>
      <c r="D841" s="2"/>
      <c r="E841" s="3"/>
      <c r="F841" s="3"/>
      <c r="G841" s="3"/>
      <c r="H841" s="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>
      <c r="A842" s="2"/>
      <c r="B842" s="2"/>
      <c r="C842" s="2"/>
      <c r="D842" s="2"/>
      <c r="E842" s="3"/>
      <c r="F842" s="3"/>
      <c r="G842" s="3"/>
      <c r="H842" s="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>
      <c r="A843" s="2"/>
      <c r="B843" s="2"/>
      <c r="C843" s="2"/>
      <c r="D843" s="2"/>
      <c r="E843" s="3"/>
      <c r="F843" s="3"/>
      <c r="G843" s="3"/>
      <c r="H843" s="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>
      <c r="A844" s="2"/>
      <c r="B844" s="2"/>
      <c r="C844" s="2"/>
      <c r="D844" s="2"/>
      <c r="E844" s="3"/>
      <c r="F844" s="3"/>
      <c r="G844" s="3"/>
      <c r="H844" s="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>
      <c r="A845" s="2"/>
      <c r="B845" s="2"/>
      <c r="C845" s="2"/>
      <c r="D845" s="2"/>
      <c r="E845" s="3"/>
      <c r="F845" s="3"/>
      <c r="G845" s="3"/>
      <c r="H845" s="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>
      <c r="A846" s="2"/>
      <c r="B846" s="2"/>
      <c r="C846" s="2"/>
      <c r="D846" s="2"/>
      <c r="E846" s="3"/>
      <c r="F846" s="3"/>
      <c r="G846" s="3"/>
      <c r="H846" s="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>
      <c r="A847" s="2"/>
      <c r="B847" s="2"/>
      <c r="C847" s="2"/>
      <c r="D847" s="2"/>
      <c r="E847" s="3"/>
      <c r="F847" s="3"/>
      <c r="G847" s="3"/>
      <c r="H847" s="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>
      <c r="A848" s="2"/>
      <c r="B848" s="2"/>
      <c r="C848" s="2"/>
      <c r="D848" s="2"/>
      <c r="E848" s="3"/>
      <c r="F848" s="3"/>
      <c r="G848" s="3"/>
      <c r="H848" s="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>
      <c r="A849" s="2"/>
      <c r="B849" s="2"/>
      <c r="C849" s="2"/>
      <c r="D849" s="2"/>
      <c r="E849" s="3"/>
      <c r="F849" s="3"/>
      <c r="G849" s="3"/>
      <c r="H849" s="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>
      <c r="A850" s="2"/>
      <c r="B850" s="2"/>
      <c r="C850" s="2"/>
      <c r="D850" s="2"/>
      <c r="E850" s="3"/>
      <c r="F850" s="3"/>
      <c r="G850" s="3"/>
      <c r="H850" s="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>
      <c r="A851" s="2"/>
      <c r="B851" s="2"/>
      <c r="C851" s="2"/>
      <c r="D851" s="2"/>
      <c r="E851" s="3"/>
      <c r="F851" s="3"/>
      <c r="G851" s="3"/>
      <c r="H851" s="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>
      <c r="A852" s="2"/>
      <c r="B852" s="2"/>
      <c r="C852" s="2"/>
      <c r="D852" s="2"/>
      <c r="E852" s="3"/>
      <c r="F852" s="3"/>
      <c r="G852" s="3"/>
      <c r="H852" s="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>
      <c r="A853" s="2"/>
      <c r="B853" s="2"/>
      <c r="C853" s="2"/>
      <c r="D853" s="2"/>
      <c r="E853" s="3"/>
      <c r="F853" s="3"/>
      <c r="G853" s="3"/>
      <c r="H853" s="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>
      <c r="A854" s="2"/>
      <c r="B854" s="2"/>
      <c r="C854" s="2"/>
      <c r="D854" s="2"/>
      <c r="E854" s="3"/>
      <c r="F854" s="3"/>
      <c r="G854" s="3"/>
      <c r="H854" s="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>
      <c r="A855" s="2"/>
      <c r="B855" s="2"/>
      <c r="C855" s="2"/>
      <c r="D855" s="2"/>
      <c r="E855" s="3"/>
      <c r="F855" s="3"/>
      <c r="G855" s="3"/>
      <c r="H855" s="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>
      <c r="A856" s="2"/>
      <c r="B856" s="2"/>
      <c r="C856" s="2"/>
      <c r="D856" s="2"/>
      <c r="E856" s="3"/>
      <c r="F856" s="3"/>
      <c r="G856" s="3"/>
      <c r="H856" s="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>
      <c r="A857" s="2"/>
      <c r="B857" s="2"/>
      <c r="C857" s="2"/>
      <c r="D857" s="2"/>
      <c r="E857" s="3"/>
      <c r="F857" s="3"/>
      <c r="G857" s="3"/>
      <c r="H857" s="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>
      <c r="A858" s="2"/>
      <c r="B858" s="2"/>
      <c r="C858" s="2"/>
      <c r="D858" s="2"/>
      <c r="E858" s="3"/>
      <c r="F858" s="3"/>
      <c r="G858" s="3"/>
      <c r="H858" s="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>
      <c r="A859" s="2"/>
      <c r="B859" s="2"/>
      <c r="C859" s="2"/>
      <c r="D859" s="2"/>
      <c r="E859" s="3"/>
      <c r="F859" s="3"/>
      <c r="G859" s="3"/>
      <c r="H859" s="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>
      <c r="A860" s="2"/>
      <c r="B860" s="2"/>
      <c r="C860" s="2"/>
      <c r="D860" s="2"/>
      <c r="E860" s="3"/>
      <c r="F860" s="3"/>
      <c r="G860" s="3"/>
      <c r="H860" s="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>
      <c r="A861" s="2"/>
      <c r="B861" s="2"/>
      <c r="C861" s="2"/>
      <c r="D861" s="2"/>
      <c r="E861" s="3"/>
      <c r="F861" s="3"/>
      <c r="G861" s="3"/>
      <c r="H861" s="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>
      <c r="A862" s="2"/>
      <c r="B862" s="2"/>
      <c r="C862" s="2"/>
      <c r="D862" s="2"/>
      <c r="E862" s="3"/>
      <c r="F862" s="3"/>
      <c r="G862" s="3"/>
      <c r="H862" s="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>
      <c r="A863" s="2"/>
      <c r="B863" s="2"/>
      <c r="C863" s="2"/>
      <c r="D863" s="2"/>
      <c r="E863" s="3"/>
      <c r="F863" s="3"/>
      <c r="G863" s="3"/>
      <c r="H863" s="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>
      <c r="A864" s="2"/>
      <c r="B864" s="2"/>
      <c r="C864" s="2"/>
      <c r="D864" s="2"/>
      <c r="E864" s="3"/>
      <c r="F864" s="3"/>
      <c r="G864" s="3"/>
      <c r="H864" s="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>
      <c r="A865" s="2"/>
      <c r="B865" s="2"/>
      <c r="C865" s="2"/>
      <c r="D865" s="2"/>
      <c r="E865" s="3"/>
      <c r="F865" s="3"/>
      <c r="G865" s="3"/>
      <c r="H865" s="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>
      <c r="A866" s="2"/>
      <c r="B866" s="2"/>
      <c r="C866" s="2"/>
      <c r="D866" s="2"/>
      <c r="E866" s="3"/>
      <c r="F866" s="3"/>
      <c r="G866" s="3"/>
      <c r="H866" s="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>
      <c r="A867" s="2"/>
      <c r="B867" s="2"/>
      <c r="C867" s="2"/>
      <c r="D867" s="2"/>
      <c r="E867" s="3"/>
      <c r="F867" s="3"/>
      <c r="G867" s="3"/>
      <c r="H867" s="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>
      <c r="A868" s="2"/>
      <c r="B868" s="2"/>
      <c r="C868" s="2"/>
      <c r="D868" s="2"/>
      <c r="E868" s="3"/>
      <c r="F868" s="3"/>
      <c r="G868" s="3"/>
      <c r="H868" s="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>
      <c r="A869" s="2"/>
      <c r="B869" s="2"/>
      <c r="C869" s="2"/>
      <c r="D869" s="2"/>
      <c r="E869" s="3"/>
      <c r="F869" s="3"/>
      <c r="G869" s="3"/>
      <c r="H869" s="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>
      <c r="A870" s="2"/>
      <c r="B870" s="2"/>
      <c r="C870" s="2"/>
      <c r="D870" s="2"/>
      <c r="E870" s="3"/>
      <c r="F870" s="3"/>
      <c r="G870" s="3"/>
      <c r="H870" s="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>
      <c r="A871" s="2"/>
      <c r="B871" s="2"/>
      <c r="C871" s="2"/>
      <c r="D871" s="2"/>
      <c r="E871" s="3"/>
      <c r="F871" s="3"/>
      <c r="G871" s="3"/>
      <c r="H871" s="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>
      <c r="A872" s="2"/>
      <c r="B872" s="2"/>
      <c r="C872" s="2"/>
      <c r="D872" s="2"/>
      <c r="E872" s="3"/>
      <c r="F872" s="3"/>
      <c r="G872" s="3"/>
      <c r="H872" s="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>
      <c r="A873" s="2"/>
      <c r="B873" s="2"/>
      <c r="C873" s="2"/>
      <c r="D873" s="2"/>
      <c r="E873" s="3"/>
      <c r="F873" s="3"/>
      <c r="G873" s="3"/>
      <c r="H873" s="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>
      <c r="A874" s="2"/>
      <c r="B874" s="2"/>
      <c r="C874" s="2"/>
      <c r="D874" s="2"/>
      <c r="E874" s="3"/>
      <c r="F874" s="3"/>
      <c r="G874" s="3"/>
      <c r="H874" s="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>
      <c r="A875" s="2"/>
      <c r="B875" s="2"/>
      <c r="C875" s="2"/>
      <c r="D875" s="2"/>
      <c r="E875" s="3"/>
      <c r="F875" s="3"/>
      <c r="G875" s="3"/>
      <c r="H875" s="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>
      <c r="A876" s="2"/>
      <c r="B876" s="2"/>
      <c r="C876" s="2"/>
      <c r="D876" s="2"/>
      <c r="E876" s="3"/>
      <c r="F876" s="3"/>
      <c r="G876" s="3"/>
      <c r="H876" s="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>
      <c r="A877" s="2"/>
      <c r="B877" s="2"/>
      <c r="C877" s="2"/>
      <c r="D877" s="2"/>
      <c r="E877" s="3"/>
      <c r="F877" s="3"/>
      <c r="G877" s="3"/>
      <c r="H877" s="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>
      <c r="A878" s="2"/>
      <c r="B878" s="2"/>
      <c r="C878" s="2"/>
      <c r="D878" s="2"/>
      <c r="E878" s="3"/>
      <c r="F878" s="3"/>
      <c r="G878" s="3"/>
      <c r="H878" s="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>
      <c r="A879" s="2"/>
      <c r="B879" s="2"/>
      <c r="C879" s="2"/>
      <c r="D879" s="2"/>
      <c r="E879" s="3"/>
      <c r="F879" s="3"/>
      <c r="G879" s="3"/>
      <c r="H879" s="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>
      <c r="A880" s="2"/>
      <c r="B880" s="2"/>
      <c r="C880" s="2"/>
      <c r="D880" s="2"/>
      <c r="E880" s="3"/>
      <c r="F880" s="3"/>
      <c r="G880" s="3"/>
      <c r="H880" s="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>
      <c r="A881" s="2"/>
      <c r="B881" s="2"/>
      <c r="C881" s="2"/>
      <c r="D881" s="2"/>
      <c r="E881" s="3"/>
      <c r="F881" s="3"/>
      <c r="G881" s="3"/>
      <c r="H881" s="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>
      <c r="A882" s="2"/>
      <c r="B882" s="2"/>
      <c r="C882" s="2"/>
      <c r="D882" s="2"/>
      <c r="E882" s="3"/>
      <c r="F882" s="3"/>
      <c r="G882" s="3"/>
      <c r="H882" s="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>
      <c r="A883" s="2"/>
      <c r="B883" s="2"/>
      <c r="C883" s="2"/>
      <c r="D883" s="2"/>
      <c r="E883" s="3"/>
      <c r="F883" s="3"/>
      <c r="G883" s="3"/>
      <c r="H883" s="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>
      <c r="A884" s="2"/>
      <c r="B884" s="2"/>
      <c r="C884" s="2"/>
      <c r="D884" s="2"/>
      <c r="E884" s="3"/>
      <c r="F884" s="3"/>
      <c r="G884" s="3"/>
      <c r="H884" s="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>
      <c r="A885" s="2"/>
      <c r="B885" s="2"/>
      <c r="C885" s="2"/>
      <c r="D885" s="2"/>
      <c r="E885" s="3"/>
      <c r="F885" s="3"/>
      <c r="G885" s="3"/>
      <c r="H885" s="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>
      <c r="A886" s="2"/>
      <c r="B886" s="2"/>
      <c r="C886" s="2"/>
      <c r="D886" s="2"/>
      <c r="E886" s="3"/>
      <c r="F886" s="3"/>
      <c r="G886" s="3"/>
      <c r="H886" s="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>
      <c r="A887" s="2"/>
      <c r="B887" s="2"/>
      <c r="C887" s="2"/>
      <c r="D887" s="2"/>
      <c r="E887" s="3"/>
      <c r="F887" s="3"/>
      <c r="G887" s="3"/>
      <c r="H887" s="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>
      <c r="A888" s="2"/>
      <c r="B888" s="2"/>
      <c r="C888" s="2"/>
      <c r="D888" s="2"/>
      <c r="E888" s="3"/>
      <c r="F888" s="3"/>
      <c r="G888" s="3"/>
      <c r="H888" s="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>
      <c r="A889" s="2"/>
      <c r="B889" s="2"/>
      <c r="C889" s="2"/>
      <c r="D889" s="2"/>
      <c r="E889" s="3"/>
      <c r="F889" s="3"/>
      <c r="G889" s="3"/>
      <c r="H889" s="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>
      <c r="A890" s="2"/>
      <c r="B890" s="2"/>
      <c r="C890" s="2"/>
      <c r="D890" s="2"/>
      <c r="E890" s="3"/>
      <c r="F890" s="3"/>
      <c r="G890" s="3"/>
      <c r="H890" s="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>
      <c r="A891" s="2"/>
      <c r="B891" s="2"/>
      <c r="C891" s="2"/>
      <c r="D891" s="2"/>
      <c r="E891" s="3"/>
      <c r="F891" s="3"/>
      <c r="G891" s="3"/>
      <c r="H891" s="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>
      <c r="A892" s="2"/>
      <c r="B892" s="2"/>
      <c r="C892" s="2"/>
      <c r="D892" s="2"/>
      <c r="E892" s="3"/>
      <c r="F892" s="3"/>
      <c r="G892" s="3"/>
      <c r="H892" s="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>
      <c r="A893" s="2"/>
      <c r="B893" s="2"/>
      <c r="C893" s="2"/>
      <c r="D893" s="2"/>
      <c r="E893" s="3"/>
      <c r="F893" s="3"/>
      <c r="G893" s="3"/>
      <c r="H893" s="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>
      <c r="A894" s="2"/>
      <c r="B894" s="2"/>
      <c r="C894" s="2"/>
      <c r="D894" s="2"/>
      <c r="E894" s="3"/>
      <c r="F894" s="3"/>
      <c r="G894" s="3"/>
      <c r="H894" s="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>
      <c r="A895" s="2"/>
      <c r="B895" s="2"/>
      <c r="C895" s="2"/>
      <c r="D895" s="2"/>
      <c r="E895" s="3"/>
      <c r="F895" s="3"/>
      <c r="G895" s="3"/>
      <c r="H895" s="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>
      <c r="A896" s="2"/>
      <c r="B896" s="2"/>
      <c r="C896" s="2"/>
      <c r="D896" s="2"/>
      <c r="E896" s="3"/>
      <c r="F896" s="3"/>
      <c r="G896" s="3"/>
      <c r="H896" s="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>
      <c r="A897" s="2"/>
      <c r="B897" s="2"/>
      <c r="C897" s="2"/>
      <c r="D897" s="2"/>
      <c r="E897" s="3"/>
      <c r="F897" s="3"/>
      <c r="G897" s="3"/>
      <c r="H897" s="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>
      <c r="A898" s="2"/>
      <c r="B898" s="2"/>
      <c r="C898" s="2"/>
      <c r="D898" s="2"/>
      <c r="E898" s="3"/>
      <c r="F898" s="3"/>
      <c r="G898" s="3"/>
      <c r="H898" s="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>
      <c r="A899" s="2"/>
      <c r="B899" s="2"/>
      <c r="C899" s="2"/>
      <c r="D899" s="2"/>
      <c r="E899" s="3"/>
      <c r="F899" s="3"/>
      <c r="G899" s="3"/>
      <c r="H899" s="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>
      <c r="A900" s="2"/>
      <c r="B900" s="2"/>
      <c r="C900" s="2"/>
      <c r="D900" s="2"/>
      <c r="E900" s="3"/>
      <c r="F900" s="3"/>
      <c r="G900" s="3"/>
      <c r="H900" s="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>
      <c r="A901" s="2"/>
      <c r="B901" s="2"/>
      <c r="C901" s="2"/>
      <c r="D901" s="2"/>
      <c r="E901" s="3"/>
      <c r="F901" s="3"/>
      <c r="G901" s="3"/>
      <c r="H901" s="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>
      <c r="A902" s="2"/>
      <c r="B902" s="2"/>
      <c r="C902" s="2"/>
      <c r="D902" s="2"/>
      <c r="E902" s="3"/>
      <c r="F902" s="3"/>
      <c r="G902" s="3"/>
      <c r="H902" s="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>
      <c r="A903" s="2"/>
      <c r="B903" s="2"/>
      <c r="C903" s="2"/>
      <c r="D903" s="2"/>
      <c r="E903" s="3"/>
      <c r="F903" s="3"/>
      <c r="G903" s="3"/>
      <c r="H903" s="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>
      <c r="A904" s="2"/>
      <c r="B904" s="2"/>
      <c r="C904" s="2"/>
      <c r="D904" s="2"/>
      <c r="E904" s="3"/>
      <c r="F904" s="3"/>
      <c r="G904" s="3"/>
      <c r="H904" s="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>
      <c r="A905" s="2"/>
      <c r="B905" s="2"/>
      <c r="C905" s="2"/>
      <c r="D905" s="2"/>
      <c r="E905" s="3"/>
      <c r="F905" s="3"/>
      <c r="G905" s="3"/>
      <c r="H905" s="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>
      <c r="A906" s="2"/>
      <c r="B906" s="2"/>
      <c r="C906" s="2"/>
      <c r="D906" s="2"/>
      <c r="E906" s="3"/>
      <c r="F906" s="3"/>
      <c r="G906" s="3"/>
      <c r="H906" s="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>
      <c r="A907" s="2"/>
      <c r="B907" s="2"/>
      <c r="C907" s="2"/>
      <c r="D907" s="2"/>
      <c r="E907" s="3"/>
      <c r="F907" s="3"/>
      <c r="G907" s="3"/>
      <c r="H907" s="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>
      <c r="A908" s="2"/>
      <c r="B908" s="2"/>
      <c r="C908" s="2"/>
      <c r="D908" s="2"/>
      <c r="E908" s="3"/>
      <c r="F908" s="3"/>
      <c r="G908" s="3"/>
      <c r="H908" s="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>
      <c r="A909" s="2"/>
      <c r="B909" s="2"/>
      <c r="C909" s="2"/>
      <c r="D909" s="2"/>
      <c r="E909" s="3"/>
      <c r="F909" s="3"/>
      <c r="G909" s="3"/>
      <c r="H909" s="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>
      <c r="A910" s="2"/>
      <c r="B910" s="2"/>
      <c r="C910" s="2"/>
      <c r="D910" s="2"/>
      <c r="E910" s="3"/>
      <c r="F910" s="3"/>
      <c r="G910" s="3"/>
      <c r="H910" s="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>
      <c r="A911" s="2"/>
      <c r="B911" s="2"/>
      <c r="C911" s="2"/>
      <c r="D911" s="2"/>
      <c r="E911" s="3"/>
      <c r="F911" s="3"/>
      <c r="G911" s="3"/>
      <c r="H911" s="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>
      <c r="A912" s="2"/>
      <c r="B912" s="2"/>
      <c r="C912" s="2"/>
      <c r="D912" s="2"/>
      <c r="E912" s="3"/>
      <c r="F912" s="3"/>
      <c r="G912" s="3"/>
      <c r="H912" s="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>
      <c r="A913" s="2"/>
      <c r="B913" s="2"/>
      <c r="C913" s="2"/>
      <c r="D913" s="2"/>
      <c r="E913" s="3"/>
      <c r="F913" s="3"/>
      <c r="G913" s="3"/>
      <c r="H913" s="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>
      <c r="A914" s="2"/>
      <c r="B914" s="2"/>
      <c r="C914" s="2"/>
      <c r="D914" s="2"/>
      <c r="E914" s="3"/>
      <c r="F914" s="3"/>
      <c r="G914" s="3"/>
      <c r="H914" s="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>
      <c r="A915" s="2"/>
      <c r="B915" s="2"/>
      <c r="C915" s="2"/>
      <c r="D915" s="2"/>
      <c r="E915" s="3"/>
      <c r="F915" s="3"/>
      <c r="G915" s="3"/>
      <c r="H915" s="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>
      <c r="A916" s="2"/>
      <c r="B916" s="2"/>
      <c r="C916" s="2"/>
      <c r="D916" s="2"/>
      <c r="E916" s="3"/>
      <c r="F916" s="3"/>
      <c r="G916" s="3"/>
      <c r="H916" s="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>
      <c r="A917" s="2"/>
      <c r="B917" s="2"/>
      <c r="C917" s="2"/>
      <c r="D917" s="2"/>
      <c r="E917" s="3"/>
      <c r="F917" s="3"/>
      <c r="G917" s="3"/>
      <c r="H917" s="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>
      <c r="A918" s="2"/>
      <c r="B918" s="2"/>
      <c r="C918" s="2"/>
      <c r="D918" s="2"/>
      <c r="E918" s="3"/>
      <c r="F918" s="3"/>
      <c r="G918" s="3"/>
      <c r="H918" s="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>
      <c r="A919" s="2"/>
      <c r="B919" s="2"/>
      <c r="C919" s="2"/>
      <c r="D919" s="2"/>
      <c r="E919" s="3"/>
      <c r="F919" s="3"/>
      <c r="G919" s="3"/>
      <c r="H919" s="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>
      <c r="A920" s="2"/>
      <c r="B920" s="2"/>
      <c r="C920" s="2"/>
      <c r="D920" s="2"/>
      <c r="E920" s="3"/>
      <c r="F920" s="3"/>
      <c r="G920" s="3"/>
      <c r="H920" s="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>
      <c r="A921" s="2"/>
      <c r="B921" s="2"/>
      <c r="C921" s="2"/>
      <c r="D921" s="2"/>
      <c r="E921" s="3"/>
      <c r="F921" s="3"/>
      <c r="G921" s="3"/>
      <c r="H921" s="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>
      <c r="A922" s="2"/>
      <c r="B922" s="2"/>
      <c r="C922" s="2"/>
      <c r="D922" s="2"/>
      <c r="E922" s="3"/>
      <c r="F922" s="3"/>
      <c r="G922" s="3"/>
      <c r="H922" s="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>
      <c r="A923" s="2"/>
      <c r="B923" s="2"/>
      <c r="C923" s="2"/>
      <c r="D923" s="2"/>
      <c r="E923" s="3"/>
      <c r="F923" s="3"/>
      <c r="G923" s="3"/>
      <c r="H923" s="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>
      <c r="A924" s="2"/>
      <c r="B924" s="2"/>
      <c r="C924" s="2"/>
      <c r="D924" s="2"/>
      <c r="E924" s="3"/>
      <c r="F924" s="3"/>
      <c r="G924" s="3"/>
      <c r="H924" s="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>
      <c r="A925" s="2"/>
      <c r="B925" s="2"/>
      <c r="C925" s="2"/>
      <c r="D925" s="2"/>
      <c r="E925" s="3"/>
      <c r="F925" s="3"/>
      <c r="G925" s="3"/>
      <c r="H925" s="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>
      <c r="A926" s="2"/>
      <c r="B926" s="2"/>
      <c r="C926" s="2"/>
      <c r="D926" s="2"/>
      <c r="E926" s="3"/>
      <c r="F926" s="3"/>
      <c r="G926" s="3"/>
      <c r="H926" s="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>
      <c r="A927" s="2"/>
      <c r="B927" s="2"/>
      <c r="C927" s="2"/>
      <c r="D927" s="2"/>
      <c r="E927" s="3"/>
      <c r="F927" s="3"/>
      <c r="G927" s="3"/>
      <c r="H927" s="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>
      <c r="A928" s="2"/>
      <c r="B928" s="2"/>
      <c r="C928" s="2"/>
      <c r="D928" s="2"/>
      <c r="E928" s="3"/>
      <c r="F928" s="3"/>
      <c r="G928" s="3"/>
      <c r="H928" s="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>
      <c r="A929" s="2"/>
      <c r="B929" s="2"/>
      <c r="C929" s="2"/>
      <c r="D929" s="2"/>
      <c r="E929" s="3"/>
      <c r="F929" s="3"/>
      <c r="G929" s="3"/>
      <c r="H929" s="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>
      <c r="A930" s="2"/>
      <c r="B930" s="2"/>
      <c r="C930" s="2"/>
      <c r="D930" s="2"/>
      <c r="E930" s="3"/>
      <c r="F930" s="3"/>
      <c r="G930" s="3"/>
      <c r="H930" s="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>
      <c r="A931" s="2"/>
      <c r="B931" s="2"/>
      <c r="C931" s="2"/>
      <c r="D931" s="2"/>
      <c r="E931" s="3"/>
      <c r="F931" s="3"/>
      <c r="G931" s="3"/>
      <c r="H931" s="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>
      <c r="A932" s="2"/>
      <c r="B932" s="2"/>
      <c r="C932" s="2"/>
      <c r="D932" s="2"/>
      <c r="E932" s="3"/>
      <c r="F932" s="3"/>
      <c r="G932" s="3"/>
      <c r="H932" s="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>
      <c r="A933" s="2"/>
      <c r="B933" s="2"/>
      <c r="C933" s="2"/>
      <c r="D933" s="2"/>
      <c r="E933" s="3"/>
      <c r="F933" s="3"/>
      <c r="G933" s="3"/>
      <c r="H933" s="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>
      <c r="A934" s="2"/>
      <c r="B934" s="2"/>
      <c r="C934" s="2"/>
      <c r="D934" s="2"/>
      <c r="E934" s="3"/>
      <c r="F934" s="3"/>
      <c r="G934" s="3"/>
      <c r="H934" s="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>
      <c r="A935" s="2"/>
      <c r="B935" s="2"/>
      <c r="C935" s="2"/>
      <c r="D935" s="2"/>
      <c r="E935" s="3"/>
      <c r="F935" s="3"/>
      <c r="G935" s="3"/>
      <c r="H935" s="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>
      <c r="A936" s="2"/>
      <c r="B936" s="2"/>
      <c r="C936" s="2"/>
      <c r="D936" s="2"/>
      <c r="E936" s="3"/>
      <c r="F936" s="3"/>
      <c r="G936" s="3"/>
      <c r="H936" s="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>
      <c r="A937" s="2"/>
      <c r="B937" s="2"/>
      <c r="C937" s="2"/>
      <c r="D937" s="2"/>
      <c r="E937" s="3"/>
      <c r="F937" s="3"/>
      <c r="G937" s="3"/>
      <c r="H937" s="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>
      <c r="A938" s="2"/>
      <c r="B938" s="2"/>
      <c r="C938" s="2"/>
      <c r="D938" s="2"/>
      <c r="E938" s="3"/>
      <c r="F938" s="3"/>
      <c r="G938" s="3"/>
      <c r="H938" s="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>
      <c r="A939" s="2"/>
      <c r="B939" s="2"/>
      <c r="C939" s="2"/>
      <c r="D939" s="2"/>
      <c r="E939" s="3"/>
      <c r="F939" s="3"/>
      <c r="G939" s="3"/>
      <c r="H939" s="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>
      <c r="A940" s="2"/>
      <c r="B940" s="2"/>
      <c r="C940" s="2"/>
      <c r="D940" s="2"/>
      <c r="E940" s="3"/>
      <c r="F940" s="3"/>
      <c r="G940" s="3"/>
      <c r="H940" s="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>
      <c r="A941" s="2"/>
      <c r="B941" s="2"/>
      <c r="C941" s="2"/>
      <c r="D941" s="2"/>
      <c r="E941" s="3"/>
      <c r="F941" s="3"/>
      <c r="G941" s="3"/>
      <c r="H941" s="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>
      <c r="A942" s="2"/>
      <c r="B942" s="2"/>
      <c r="C942" s="2"/>
      <c r="D942" s="2"/>
      <c r="E942" s="3"/>
      <c r="F942" s="3"/>
      <c r="G942" s="3"/>
      <c r="H942" s="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>
      <c r="A943" s="2"/>
      <c r="B943" s="2"/>
      <c r="C943" s="2"/>
      <c r="D943" s="2"/>
      <c r="E943" s="3"/>
      <c r="F943" s="3"/>
      <c r="G943" s="3"/>
      <c r="H943" s="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>
      <c r="A944" s="2"/>
      <c r="B944" s="2"/>
      <c r="C944" s="2"/>
      <c r="D944" s="2"/>
      <c r="E944" s="3"/>
      <c r="F944" s="3"/>
      <c r="G944" s="3"/>
      <c r="H944" s="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>
      <c r="A945" s="2"/>
      <c r="B945" s="2"/>
      <c r="C945" s="2"/>
      <c r="D945" s="2"/>
      <c r="E945" s="3"/>
      <c r="F945" s="3"/>
      <c r="G945" s="3"/>
      <c r="H945" s="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>
      <c r="A946" s="2"/>
      <c r="B946" s="2"/>
      <c r="C946" s="2"/>
      <c r="D946" s="2"/>
      <c r="E946" s="3"/>
      <c r="F946" s="3"/>
      <c r="G946" s="3"/>
      <c r="H946" s="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>
      <c r="A947" s="2"/>
      <c r="B947" s="2"/>
      <c r="C947" s="2"/>
      <c r="D947" s="2"/>
      <c r="E947" s="3"/>
      <c r="F947" s="3"/>
      <c r="G947" s="3"/>
      <c r="H947" s="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>
      <c r="A948" s="2"/>
      <c r="B948" s="2"/>
      <c r="C948" s="2"/>
      <c r="D948" s="2"/>
      <c r="E948" s="3"/>
      <c r="F948" s="3"/>
      <c r="G948" s="3"/>
      <c r="H948" s="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>
      <c r="A949" s="2"/>
      <c r="B949" s="2"/>
      <c r="C949" s="2"/>
      <c r="D949" s="2"/>
      <c r="E949" s="3"/>
      <c r="F949" s="3"/>
      <c r="G949" s="3"/>
      <c r="H949" s="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>
      <c r="A950" s="2"/>
      <c r="B950" s="2"/>
      <c r="C950" s="2"/>
      <c r="D950" s="2"/>
      <c r="E950" s="3"/>
      <c r="F950" s="3"/>
      <c r="G950" s="3"/>
      <c r="H950" s="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>
      <c r="A951" s="2"/>
      <c r="B951" s="2"/>
      <c r="C951" s="2"/>
      <c r="D951" s="2"/>
      <c r="E951" s="3"/>
      <c r="F951" s="3"/>
      <c r="G951" s="3"/>
      <c r="H951" s="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>
      <c r="A952" s="2"/>
      <c r="B952" s="2"/>
      <c r="C952" s="2"/>
      <c r="D952" s="2"/>
      <c r="E952" s="3"/>
      <c r="F952" s="3"/>
      <c r="G952" s="3"/>
      <c r="H952" s="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>
      <c r="A953" s="2"/>
      <c r="B953" s="2"/>
      <c r="C953" s="2"/>
      <c r="D953" s="2"/>
      <c r="E953" s="3"/>
      <c r="F953" s="3"/>
      <c r="G953" s="3"/>
      <c r="H953" s="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>
      <c r="A954" s="2"/>
      <c r="B954" s="2"/>
      <c r="C954" s="2"/>
      <c r="D954" s="2"/>
      <c r="E954" s="3"/>
      <c r="F954" s="3"/>
      <c r="G954" s="3"/>
      <c r="H954" s="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>
      <c r="A955" s="2"/>
      <c r="B955" s="2"/>
      <c r="C955" s="2"/>
      <c r="D955" s="2"/>
      <c r="E955" s="3"/>
      <c r="F955" s="3"/>
      <c r="G955" s="3"/>
      <c r="H955" s="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>
      <c r="A956" s="2"/>
      <c r="B956" s="2"/>
      <c r="C956" s="2"/>
      <c r="D956" s="2"/>
      <c r="E956" s="3"/>
      <c r="F956" s="3"/>
      <c r="G956" s="3"/>
      <c r="H956" s="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>
      <c r="A957" s="2"/>
      <c r="B957" s="2"/>
      <c r="C957" s="2"/>
      <c r="D957" s="2"/>
      <c r="E957" s="3"/>
      <c r="F957" s="3"/>
      <c r="G957" s="3"/>
      <c r="H957" s="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>
      <c r="A958" s="2"/>
      <c r="B958" s="2"/>
      <c r="C958" s="2"/>
      <c r="D958" s="2"/>
      <c r="E958" s="3"/>
      <c r="F958" s="3"/>
      <c r="G958" s="3"/>
      <c r="H958" s="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>
      <c r="A959" s="2"/>
      <c r="B959" s="2"/>
      <c r="C959" s="2"/>
      <c r="D959" s="2"/>
      <c r="E959" s="3"/>
      <c r="F959" s="3"/>
      <c r="G959" s="3"/>
      <c r="H959" s="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>
      <c r="A960" s="2"/>
      <c r="B960" s="2"/>
      <c r="C960" s="2"/>
      <c r="D960" s="2"/>
      <c r="E960" s="3"/>
      <c r="F960" s="3"/>
      <c r="G960" s="3"/>
      <c r="H960" s="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>
      <c r="A961" s="2"/>
      <c r="B961" s="2"/>
      <c r="C961" s="2"/>
      <c r="D961" s="2"/>
      <c r="E961" s="3"/>
      <c r="F961" s="3"/>
      <c r="G961" s="3"/>
      <c r="H961" s="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>
      <c r="A962" s="2"/>
      <c r="B962" s="2"/>
      <c r="C962" s="2"/>
      <c r="D962" s="2"/>
      <c r="E962" s="3"/>
      <c r="F962" s="3"/>
      <c r="G962" s="3"/>
      <c r="H962" s="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>
      <c r="A963" s="2"/>
      <c r="B963" s="2"/>
      <c r="C963" s="2"/>
      <c r="D963" s="2"/>
      <c r="E963" s="3"/>
      <c r="F963" s="3"/>
      <c r="G963" s="3"/>
      <c r="H963" s="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>
      <c r="A964" s="2"/>
      <c r="B964" s="2"/>
      <c r="C964" s="2"/>
      <c r="D964" s="2"/>
      <c r="E964" s="3"/>
      <c r="F964" s="3"/>
      <c r="G964" s="3"/>
      <c r="H964" s="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>
      <c r="A965" s="2"/>
      <c r="B965" s="2"/>
      <c r="C965" s="2"/>
      <c r="D965" s="2"/>
      <c r="E965" s="3"/>
      <c r="F965" s="3"/>
      <c r="G965" s="3"/>
      <c r="H965" s="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>
      <c r="A966" s="2"/>
      <c r="B966" s="2"/>
      <c r="C966" s="2"/>
      <c r="D966" s="2"/>
      <c r="E966" s="3"/>
      <c r="F966" s="3"/>
      <c r="G966" s="3"/>
      <c r="H966" s="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>
      <c r="A967" s="2"/>
      <c r="B967" s="2"/>
      <c r="C967" s="2"/>
      <c r="D967" s="2"/>
      <c r="E967" s="3"/>
      <c r="F967" s="3"/>
      <c r="G967" s="3"/>
      <c r="H967" s="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>
      <c r="A968" s="2"/>
      <c r="B968" s="2"/>
      <c r="C968" s="2"/>
      <c r="D968" s="2"/>
      <c r="E968" s="3"/>
      <c r="F968" s="3"/>
      <c r="G968" s="3"/>
      <c r="H968" s="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>
      <c r="A969" s="2"/>
      <c r="B969" s="2"/>
      <c r="C969" s="2"/>
      <c r="D969" s="2"/>
      <c r="E969" s="3"/>
      <c r="F969" s="3"/>
      <c r="G969" s="3"/>
      <c r="H969" s="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>
      <c r="A970" s="2"/>
      <c r="B970" s="2"/>
      <c r="C970" s="2"/>
      <c r="D970" s="2"/>
      <c r="E970" s="3"/>
      <c r="F970" s="3"/>
      <c r="G970" s="3"/>
      <c r="H970" s="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>
      <c r="A971" s="2"/>
      <c r="B971" s="2"/>
      <c r="C971" s="2"/>
      <c r="D971" s="2"/>
      <c r="E971" s="3"/>
      <c r="F971" s="3"/>
      <c r="G971" s="3"/>
      <c r="H971" s="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>
      <c r="A972" s="2"/>
      <c r="B972" s="2"/>
      <c r="C972" s="2"/>
      <c r="D972" s="2"/>
      <c r="E972" s="3"/>
      <c r="F972" s="3"/>
      <c r="G972" s="3"/>
      <c r="H972" s="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>
      <c r="A973" s="2"/>
      <c r="B973" s="2"/>
      <c r="C973" s="2"/>
      <c r="D973" s="2"/>
      <c r="E973" s="3"/>
      <c r="F973" s="3"/>
      <c r="G973" s="3"/>
      <c r="H973" s="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>
      <c r="A974" s="2"/>
      <c r="B974" s="2"/>
      <c r="C974" s="2"/>
      <c r="D974" s="2"/>
      <c r="E974" s="3"/>
      <c r="F974" s="3"/>
      <c r="G974" s="3"/>
      <c r="H974" s="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>
      <c r="A975" s="2"/>
      <c r="B975" s="2"/>
      <c r="C975" s="2"/>
      <c r="D975" s="2"/>
      <c r="E975" s="3"/>
      <c r="F975" s="3"/>
      <c r="G975" s="3"/>
      <c r="H975" s="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>
      <c r="A976" s="2"/>
      <c r="B976" s="2"/>
      <c r="C976" s="2"/>
      <c r="D976" s="2"/>
      <c r="E976" s="3"/>
      <c r="F976" s="3"/>
      <c r="G976" s="3"/>
      <c r="H976" s="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>
      <c r="A977" s="2"/>
      <c r="B977" s="2"/>
      <c r="C977" s="2"/>
      <c r="D977" s="2"/>
      <c r="E977" s="3"/>
      <c r="F977" s="3"/>
      <c r="G977" s="3"/>
      <c r="H977" s="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>
      <c r="A978" s="2"/>
      <c r="B978" s="2"/>
      <c r="C978" s="2"/>
      <c r="D978" s="2"/>
      <c r="E978" s="3"/>
      <c r="F978" s="3"/>
      <c r="G978" s="3"/>
      <c r="H978" s="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>
      <c r="A979" s="2"/>
      <c r="B979" s="2"/>
      <c r="C979" s="2"/>
      <c r="D979" s="2"/>
      <c r="E979" s="3"/>
      <c r="F979" s="3"/>
      <c r="G979" s="3"/>
      <c r="H979" s="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>
      <c r="A980" s="2"/>
      <c r="B980" s="2"/>
      <c r="C980" s="2"/>
      <c r="D980" s="2"/>
      <c r="E980" s="3"/>
      <c r="F980" s="3"/>
      <c r="G980" s="3"/>
      <c r="H980" s="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>
      <c r="A981" s="2"/>
      <c r="B981" s="2"/>
      <c r="C981" s="2"/>
      <c r="D981" s="2"/>
      <c r="E981" s="3"/>
      <c r="F981" s="3"/>
      <c r="G981" s="3"/>
      <c r="H981" s="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>
      <c r="A982" s="2"/>
      <c r="B982" s="2"/>
      <c r="C982" s="2"/>
      <c r="D982" s="2"/>
      <c r="E982" s="3"/>
      <c r="F982" s="3"/>
      <c r="G982" s="3"/>
      <c r="H982" s="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>
      <c r="A983" s="2"/>
      <c r="B983" s="2"/>
      <c r="C983" s="2"/>
      <c r="D983" s="2"/>
      <c r="E983" s="3"/>
      <c r="F983" s="3"/>
      <c r="G983" s="3"/>
      <c r="H983" s="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>
      <c r="A984" s="2"/>
      <c r="B984" s="2"/>
      <c r="C984" s="2"/>
      <c r="D984" s="2"/>
      <c r="E984" s="3"/>
      <c r="F984" s="3"/>
      <c r="G984" s="3"/>
      <c r="H984" s="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>
      <c r="A985" s="2"/>
      <c r="B985" s="2"/>
      <c r="C985" s="2"/>
      <c r="D985" s="2"/>
      <c r="E985" s="3"/>
      <c r="F985" s="3"/>
      <c r="G985" s="3"/>
      <c r="H985" s="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>
      <c r="A986" s="2"/>
      <c r="B986" s="2"/>
      <c r="C986" s="2"/>
      <c r="D986" s="2"/>
      <c r="E986" s="3"/>
      <c r="F986" s="3"/>
      <c r="G986" s="3"/>
      <c r="H986" s="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>
      <c r="A987" s="2"/>
      <c r="B987" s="2"/>
      <c r="C987" s="2"/>
      <c r="D987" s="2"/>
      <c r="E987" s="3"/>
      <c r="F987" s="3"/>
      <c r="G987" s="3"/>
      <c r="H987" s="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>
      <c r="A988" s="2"/>
      <c r="B988" s="2"/>
      <c r="C988" s="2"/>
      <c r="D988" s="2"/>
      <c r="E988" s="3"/>
      <c r="F988" s="3"/>
      <c r="G988" s="3"/>
      <c r="H988" s="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>
      <c r="A989" s="2"/>
      <c r="B989" s="2"/>
      <c r="C989" s="2"/>
      <c r="D989" s="2"/>
      <c r="E989" s="3"/>
      <c r="F989" s="3"/>
      <c r="G989" s="3"/>
      <c r="H989" s="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>
      <c r="A990" s="2"/>
      <c r="B990" s="2"/>
      <c r="C990" s="2"/>
      <c r="D990" s="2"/>
      <c r="E990" s="3"/>
      <c r="F990" s="3"/>
      <c r="G990" s="3"/>
      <c r="H990" s="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>
      <c r="A991" s="2"/>
      <c r="B991" s="2"/>
      <c r="C991" s="2"/>
      <c r="D991" s="2"/>
      <c r="E991" s="3"/>
      <c r="F991" s="3"/>
      <c r="G991" s="3"/>
      <c r="H991" s="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>
      <c r="A992" s="2"/>
      <c r="B992" s="2"/>
      <c r="C992" s="2"/>
      <c r="D992" s="2"/>
      <c r="E992" s="3"/>
      <c r="F992" s="3"/>
      <c r="G992" s="3"/>
      <c r="H992" s="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>
      <c r="A993" s="2"/>
      <c r="B993" s="2"/>
      <c r="C993" s="2"/>
      <c r="D993" s="2"/>
      <c r="E993" s="3"/>
      <c r="F993" s="3"/>
      <c r="G993" s="3"/>
      <c r="H993" s="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>
      <c r="A994" s="2"/>
      <c r="B994" s="2"/>
      <c r="C994" s="2"/>
      <c r="D994" s="2"/>
      <c r="E994" s="3"/>
      <c r="F994" s="3"/>
      <c r="G994" s="3"/>
      <c r="H994" s="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>
      <c r="A995" s="2"/>
      <c r="B995" s="2"/>
      <c r="C995" s="2"/>
      <c r="D995" s="2"/>
      <c r="E995" s="3"/>
      <c r="F995" s="3"/>
      <c r="G995" s="3"/>
      <c r="H995" s="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>
      <c r="A996" s="2"/>
      <c r="B996" s="2"/>
      <c r="C996" s="2"/>
      <c r="D996" s="2"/>
      <c r="E996" s="3"/>
      <c r="F996" s="3"/>
      <c r="G996" s="3"/>
      <c r="H996" s="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>
      <c r="A997" s="2"/>
      <c r="B997" s="2"/>
      <c r="C997" s="2"/>
      <c r="D997" s="2"/>
      <c r="E997" s="3"/>
      <c r="F997" s="3"/>
      <c r="G997" s="3"/>
      <c r="H997" s="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>
      <c r="A998" s="2"/>
      <c r="B998" s="2"/>
      <c r="C998" s="2"/>
      <c r="D998" s="2"/>
      <c r="E998" s="3"/>
      <c r="F998" s="3"/>
      <c r="G998" s="3"/>
      <c r="H998" s="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>
      <c r="A999" s="2"/>
      <c r="B999" s="2"/>
      <c r="C999" s="2"/>
      <c r="D999" s="2"/>
      <c r="E999" s="3"/>
      <c r="F999" s="3"/>
      <c r="G999" s="3"/>
      <c r="H999" s="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>
      <c r="A1000" s="2"/>
      <c r="B1000" s="2"/>
      <c r="C1000" s="2"/>
      <c r="D1000" s="2"/>
      <c r="E1000" s="3"/>
      <c r="F1000" s="3"/>
      <c r="G1000" s="3"/>
      <c r="H1000" s="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1">
    <mergeCell ref="K1:L1"/>
    <mergeCell ref="K2:L3"/>
    <mergeCell ref="M2:M3"/>
    <mergeCell ref="K4:M4"/>
    <mergeCell ref="K20:M21"/>
    <mergeCell ref="K22:M23"/>
    <mergeCell ref="K24:M26"/>
    <mergeCell ref="K8:M9"/>
    <mergeCell ref="K10:M11"/>
    <mergeCell ref="K12:M13"/>
    <mergeCell ref="K14:M15"/>
  </mergeCells>
  <conditionalFormatting sqref="H2:H25">
    <cfRule type="colorScale" priority="1">
      <colorScale>
        <cfvo type="formula" val="0"/>
        <cfvo type="formula" val="0"/>
        <color rgb="FFFF0000"/>
        <color rgb="FF00B05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E40B-A484-48AC-B48A-06A9832E571D}">
  <dimension ref="A1:Z1007"/>
  <sheetViews>
    <sheetView showGridLines="0" zoomScale="96" zoomScaleNormal="70" workbookViewId="0">
      <selection activeCell="F29" sqref="F29"/>
    </sheetView>
  </sheetViews>
  <sheetFormatPr baseColWidth="10" defaultColWidth="14" defaultRowHeight="15"/>
  <cols>
    <col min="1" max="1" width="8.1640625" bestFit="1" customWidth="1"/>
    <col min="2" max="2" width="6.6640625" customWidth="1"/>
    <col min="3" max="3" width="7.5" customWidth="1"/>
    <col min="4" max="4" width="16.6640625" bestFit="1" customWidth="1"/>
    <col min="5" max="5" width="16.1640625" bestFit="1" customWidth="1"/>
    <col min="6" max="6" width="19.33203125" customWidth="1"/>
    <col min="7" max="9" width="13.83203125" customWidth="1"/>
    <col min="10" max="10" width="7.83203125" customWidth="1"/>
    <col min="11" max="11" width="15.1640625" customWidth="1"/>
    <col min="12" max="12" width="16" bestFit="1" customWidth="1"/>
    <col min="13" max="13" width="11.33203125" customWidth="1"/>
    <col min="14" max="14" width="11.1640625" customWidth="1"/>
    <col min="15" max="15" width="11.6640625" customWidth="1"/>
    <col min="16" max="16" width="15" customWidth="1"/>
    <col min="17" max="17" width="8.83203125" customWidth="1"/>
    <col min="18" max="26" width="8.5" customWidth="1"/>
  </cols>
  <sheetData>
    <row r="1" spans="1:26" ht="30.5" customHeight="1" thickBot="1">
      <c r="A1" s="19" t="s">
        <v>0</v>
      </c>
      <c r="B1" s="20" t="s">
        <v>1</v>
      </c>
      <c r="C1" s="21" t="s">
        <v>2</v>
      </c>
      <c r="D1" s="22" t="s">
        <v>13</v>
      </c>
      <c r="E1" s="23" t="s">
        <v>12</v>
      </c>
      <c r="F1" s="24" t="s">
        <v>15</v>
      </c>
      <c r="G1" s="25" t="s">
        <v>16</v>
      </c>
      <c r="H1" s="26" t="s">
        <v>3</v>
      </c>
      <c r="I1" s="34" t="s">
        <v>4</v>
      </c>
      <c r="J1" s="307" t="s">
        <v>17</v>
      </c>
      <c r="K1" s="308"/>
      <c r="L1" s="33" t="s"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2.75" customHeight="1" thickBot="1">
      <c r="A2" s="32">
        <v>45658</v>
      </c>
      <c r="B2" s="68"/>
      <c r="C2" s="69"/>
      <c r="D2" s="70">
        <v>8587.2199999999993</v>
      </c>
      <c r="E2" s="17">
        <v>0</v>
      </c>
      <c r="F2" s="28">
        <v>8527.9599999999991</v>
      </c>
      <c r="G2" s="29">
        <f t="shared" ref="G2:G16" si="0">E2/D2</f>
        <v>0</v>
      </c>
      <c r="H2" s="5">
        <f>D2*L2</f>
        <v>429.36099999999999</v>
      </c>
      <c r="I2" s="7">
        <f>D2*J2</f>
        <v>257.61659999999995</v>
      </c>
      <c r="J2" s="309">
        <v>0.03</v>
      </c>
      <c r="K2" s="310"/>
      <c r="L2" s="313">
        <v>0.05</v>
      </c>
      <c r="M2" s="3"/>
      <c r="N2" s="3"/>
      <c r="O2" s="315"/>
      <c r="P2" s="306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2.75" customHeight="1" thickBot="1">
      <c r="A3" s="32">
        <v>45659</v>
      </c>
      <c r="B3" s="12" t="s">
        <v>10</v>
      </c>
      <c r="C3" s="13"/>
      <c r="D3" s="18">
        <f>F2</f>
        <v>8527.9599999999991</v>
      </c>
      <c r="E3" s="17">
        <f t="shared" ref="E3:E16" si="1">F3-D3</f>
        <v>126.75</v>
      </c>
      <c r="F3" s="28">
        <v>8654.7099999999991</v>
      </c>
      <c r="G3" s="29">
        <f t="shared" si="0"/>
        <v>1.4862874591344239E-2</v>
      </c>
      <c r="H3" s="5">
        <f>D3*L2</f>
        <v>426.39799999999997</v>
      </c>
      <c r="I3" s="7">
        <f>D3*J2</f>
        <v>255.83879999999996</v>
      </c>
      <c r="J3" s="311"/>
      <c r="K3" s="312"/>
      <c r="L3" s="314"/>
      <c r="M3" s="3"/>
      <c r="N3" s="3"/>
      <c r="O3" s="306"/>
      <c r="P3" s="306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.75" customHeight="1" thickBot="1">
      <c r="A4" s="32">
        <v>45660</v>
      </c>
      <c r="B4" s="12" t="s">
        <v>10</v>
      </c>
      <c r="C4" s="13"/>
      <c r="D4" s="18">
        <f>F3</f>
        <v>8654.7099999999991</v>
      </c>
      <c r="E4" s="17">
        <f t="shared" si="1"/>
        <v>244.18000000000029</v>
      </c>
      <c r="F4" s="28">
        <v>8898.89</v>
      </c>
      <c r="G4" s="29">
        <f t="shared" si="0"/>
        <v>2.821353921737416E-2</v>
      </c>
      <c r="H4" s="5">
        <f>D4*L2</f>
        <v>432.7355</v>
      </c>
      <c r="I4" s="7">
        <f>D4*J2</f>
        <v>259.64129999999994</v>
      </c>
      <c r="J4" s="316" t="s">
        <v>11</v>
      </c>
      <c r="K4" s="317"/>
      <c r="L4" s="317"/>
      <c r="M4" s="1"/>
      <c r="N4" s="1"/>
      <c r="O4" s="305"/>
      <c r="P4" s="306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2.75" customHeight="1" thickBot="1">
      <c r="A5" s="32">
        <v>45661</v>
      </c>
      <c r="B5" s="12" t="s">
        <v>10</v>
      </c>
      <c r="C5" s="13"/>
      <c r="D5" s="18">
        <f t="shared" ref="D5:D24" si="2">F4</f>
        <v>8898.89</v>
      </c>
      <c r="E5" s="17">
        <f t="shared" si="1"/>
        <v>237.28000000000065</v>
      </c>
      <c r="F5" s="28">
        <v>9136.17</v>
      </c>
      <c r="G5" s="29">
        <f t="shared" si="0"/>
        <v>2.666399966737432E-2</v>
      </c>
      <c r="H5" s="5">
        <f>D5*L2</f>
        <v>444.94450000000001</v>
      </c>
      <c r="I5" s="7">
        <f>D5*J2</f>
        <v>266.96669999999995</v>
      </c>
      <c r="J5" s="37">
        <v>1</v>
      </c>
      <c r="K5" s="39">
        <v>5.0000000000000001E-3</v>
      </c>
      <c r="L5" s="38">
        <f>D2*0.005</f>
        <v>42.936099999999996</v>
      </c>
      <c r="M5" s="1"/>
      <c r="N5" s="1"/>
      <c r="O5" s="306"/>
      <c r="P5" s="306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2.75" customHeight="1" thickBot="1">
      <c r="A6" s="32">
        <v>45662</v>
      </c>
      <c r="B6" s="12" t="s">
        <v>10</v>
      </c>
      <c r="C6" s="13"/>
      <c r="D6" s="18">
        <f t="shared" si="2"/>
        <v>9136.17</v>
      </c>
      <c r="E6" s="17">
        <f t="shared" si="1"/>
        <v>81.709999999999127</v>
      </c>
      <c r="F6" s="28">
        <v>9217.8799999999992</v>
      </c>
      <c r="G6" s="29">
        <f t="shared" si="0"/>
        <v>8.9435726349224153E-3</v>
      </c>
      <c r="H6" s="5">
        <f>D6*L2</f>
        <v>456.80850000000004</v>
      </c>
      <c r="I6" s="46">
        <f>D6*J2</f>
        <v>274.08510000000001</v>
      </c>
      <c r="J6" s="37" t="s">
        <v>20</v>
      </c>
      <c r="K6" s="39">
        <v>1.2E-2</v>
      </c>
      <c r="L6" s="38">
        <f>D2*0.012</f>
        <v>103.04664</v>
      </c>
      <c r="M6" s="1"/>
      <c r="N6" s="1"/>
      <c r="O6" s="315"/>
      <c r="P6" s="306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2.75" customHeight="1" thickBot="1">
      <c r="A7" s="32">
        <v>45663</v>
      </c>
      <c r="B7" s="12" t="s">
        <v>10</v>
      </c>
      <c r="C7" s="13"/>
      <c r="D7" s="18">
        <f t="shared" si="2"/>
        <v>9217.8799999999992</v>
      </c>
      <c r="E7" s="17">
        <f t="shared" si="1"/>
        <v>281.22000000000116</v>
      </c>
      <c r="F7" s="28">
        <v>9499.1</v>
      </c>
      <c r="G7" s="31">
        <f t="shared" si="0"/>
        <v>3.0508099476235447E-2</v>
      </c>
      <c r="H7" s="5">
        <f>D7*L2</f>
        <v>460.89400000000001</v>
      </c>
      <c r="I7" s="48">
        <f>D7*J2</f>
        <v>276.53639999999996</v>
      </c>
      <c r="J7" s="43"/>
      <c r="K7" s="44"/>
      <c r="L7" s="45"/>
      <c r="M7" s="1"/>
      <c r="N7" s="1"/>
      <c r="O7" s="306"/>
      <c r="P7" s="306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2.75" customHeight="1" thickBot="1">
      <c r="A8" s="32">
        <v>45664</v>
      </c>
      <c r="B8" s="12" t="s">
        <v>10</v>
      </c>
      <c r="C8" s="13"/>
      <c r="D8" s="18">
        <f t="shared" si="2"/>
        <v>9499.1</v>
      </c>
      <c r="E8" s="17">
        <f t="shared" si="1"/>
        <v>303.67000000000007</v>
      </c>
      <c r="F8" s="28">
        <v>9802.77</v>
      </c>
      <c r="G8" s="31">
        <f t="shared" si="0"/>
        <v>3.196829173290102E-2</v>
      </c>
      <c r="H8" s="5">
        <f>D8*L2</f>
        <v>474.95500000000004</v>
      </c>
      <c r="I8" s="47">
        <f>D8*J2</f>
        <v>284.97300000000001</v>
      </c>
      <c r="J8" s="318" t="s">
        <v>4</v>
      </c>
      <c r="K8" s="319"/>
      <c r="L8" s="319"/>
      <c r="M8" s="1"/>
      <c r="N8" s="1"/>
      <c r="O8" s="305"/>
      <c r="P8" s="306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2.75" customHeight="1" thickBot="1">
      <c r="A9" s="32">
        <v>45665</v>
      </c>
      <c r="B9" s="12"/>
      <c r="C9" s="13" t="s">
        <v>9</v>
      </c>
      <c r="D9" s="18">
        <f>F8</f>
        <v>9802.77</v>
      </c>
      <c r="E9" s="17">
        <f t="shared" si="1"/>
        <v>114.46999999999935</v>
      </c>
      <c r="F9" s="28">
        <v>9917.24</v>
      </c>
      <c r="G9" s="31">
        <f t="shared" si="0"/>
        <v>1.1677311617022469E-2</v>
      </c>
      <c r="H9" s="5">
        <f>D9*L2</f>
        <v>490.13850000000002</v>
      </c>
      <c r="I9" s="7">
        <f>D9*J2</f>
        <v>294.0831</v>
      </c>
      <c r="J9" s="319"/>
      <c r="K9" s="319"/>
      <c r="L9" s="319"/>
      <c r="M9" s="1"/>
      <c r="N9" s="1"/>
      <c r="O9" s="306"/>
      <c r="P9" s="306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2.75" customHeight="1" thickBot="1">
      <c r="A10" s="32">
        <v>45666</v>
      </c>
      <c r="B10" s="12"/>
      <c r="C10" s="13" t="s">
        <v>9</v>
      </c>
      <c r="D10" s="18">
        <f>F9</f>
        <v>9917.24</v>
      </c>
      <c r="E10" s="17">
        <f t="shared" si="1"/>
        <v>-1396.2700000000004</v>
      </c>
      <c r="F10" s="28">
        <v>8520.9699999999993</v>
      </c>
      <c r="G10" s="31">
        <f t="shared" si="0"/>
        <v>-0.14079219621588268</v>
      </c>
      <c r="H10" s="5">
        <f>D10*L2</f>
        <v>495.86200000000002</v>
      </c>
      <c r="I10" s="7">
        <f>D10*J2</f>
        <v>297.5172</v>
      </c>
      <c r="J10" s="321">
        <v>8000</v>
      </c>
      <c r="K10" s="322"/>
      <c r="L10" s="322"/>
      <c r="M10" s="1"/>
      <c r="N10" s="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2.75" customHeight="1" thickBot="1">
      <c r="A11" s="32">
        <v>45667</v>
      </c>
      <c r="B11" s="12" t="s">
        <v>10</v>
      </c>
      <c r="C11" s="13"/>
      <c r="D11" s="18">
        <f t="shared" si="2"/>
        <v>8520.9699999999993</v>
      </c>
      <c r="E11" s="17">
        <f t="shared" si="1"/>
        <v>-436.01999999999953</v>
      </c>
      <c r="F11" s="28">
        <v>8084.95</v>
      </c>
      <c r="G11" s="31">
        <f t="shared" si="0"/>
        <v>-5.1170230619283906E-2</v>
      </c>
      <c r="H11" s="5">
        <f>D11*L2</f>
        <v>426.04849999999999</v>
      </c>
      <c r="I11" s="7">
        <f>D11*J2</f>
        <v>255.62909999999997</v>
      </c>
      <c r="J11" s="322"/>
      <c r="K11" s="322"/>
      <c r="L11" s="322"/>
      <c r="M11" s="1"/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2.75" customHeight="1" thickBot="1">
      <c r="A12" s="32">
        <v>45668</v>
      </c>
      <c r="B12" s="68"/>
      <c r="C12" s="69"/>
      <c r="D12" s="18">
        <f t="shared" si="2"/>
        <v>8084.95</v>
      </c>
      <c r="E12" s="17">
        <f t="shared" si="1"/>
        <v>248.5600000000004</v>
      </c>
      <c r="F12" s="28">
        <v>8333.51</v>
      </c>
      <c r="G12" s="31">
        <f t="shared" si="0"/>
        <v>3.0743542013246885E-2</v>
      </c>
      <c r="H12" s="5">
        <f>D12*L2</f>
        <v>404.2475</v>
      </c>
      <c r="I12" s="7">
        <f>D12*J2</f>
        <v>242.54849999999999</v>
      </c>
      <c r="J12" s="318" t="s">
        <v>6</v>
      </c>
      <c r="K12" s="323"/>
      <c r="L12" s="323"/>
      <c r="M12" s="1"/>
      <c r="N12" s="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2.75" customHeight="1" thickBot="1">
      <c r="A13" s="32">
        <v>45669</v>
      </c>
      <c r="B13" s="12"/>
      <c r="C13" s="13" t="s">
        <v>9</v>
      </c>
      <c r="D13" s="18">
        <f t="shared" si="2"/>
        <v>8333.51</v>
      </c>
      <c r="E13" s="17">
        <f t="shared" si="1"/>
        <v>-13.219999999999345</v>
      </c>
      <c r="F13" s="28">
        <v>8320.2900000000009</v>
      </c>
      <c r="G13" s="31">
        <f t="shared" si="0"/>
        <v>-1.5863663690328979E-3</v>
      </c>
      <c r="H13" s="5">
        <f>D13*L2</f>
        <v>416.67550000000006</v>
      </c>
      <c r="I13" s="7">
        <f>D13*J2</f>
        <v>250.00530000000001</v>
      </c>
      <c r="J13" s="323"/>
      <c r="K13" s="323"/>
      <c r="L13" s="323"/>
      <c r="M13" s="1"/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2.75" customHeight="1" thickBot="1">
      <c r="A14" s="32">
        <v>45670</v>
      </c>
      <c r="B14" s="12" t="s">
        <v>10</v>
      </c>
      <c r="C14" s="13"/>
      <c r="D14" s="18">
        <f t="shared" si="2"/>
        <v>8320.2900000000009</v>
      </c>
      <c r="E14" s="17">
        <f t="shared" si="1"/>
        <v>241.16999999999825</v>
      </c>
      <c r="F14" s="28">
        <v>8561.4599999999991</v>
      </c>
      <c r="G14" s="31">
        <f t="shared" si="0"/>
        <v>2.8985768524894952E-2</v>
      </c>
      <c r="H14" s="5">
        <f>D14*L2</f>
        <v>416.01450000000006</v>
      </c>
      <c r="I14" s="7">
        <f>D14*J2</f>
        <v>249.60870000000003</v>
      </c>
      <c r="J14" s="324">
        <f>SUM(E2:E31)</f>
        <v>375.80000000000109</v>
      </c>
      <c r="K14" s="325"/>
      <c r="L14" s="325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2.75" customHeight="1" thickBot="1">
      <c r="A15" s="32">
        <v>45671</v>
      </c>
      <c r="B15" s="12"/>
      <c r="C15" s="13"/>
      <c r="D15" s="18">
        <f t="shared" si="2"/>
        <v>8561.4599999999991</v>
      </c>
      <c r="E15" s="17">
        <f t="shared" si="1"/>
        <v>143.27000000000044</v>
      </c>
      <c r="F15" s="28">
        <v>8704.73</v>
      </c>
      <c r="G15" s="31">
        <f t="shared" si="0"/>
        <v>1.6734295318789137E-2</v>
      </c>
      <c r="H15" s="5">
        <f>D15*L2</f>
        <v>428.07299999999998</v>
      </c>
      <c r="I15" s="7">
        <f>D15*J2</f>
        <v>256.84379999999999</v>
      </c>
      <c r="J15" s="326"/>
      <c r="K15" s="326"/>
      <c r="L15" s="326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75" customHeight="1" thickBot="1">
      <c r="A16" s="32">
        <v>45672</v>
      </c>
      <c r="B16" s="12"/>
      <c r="C16" s="13"/>
      <c r="D16" s="18">
        <f t="shared" si="2"/>
        <v>8704.73</v>
      </c>
      <c r="E16" s="17">
        <f t="shared" si="1"/>
        <v>199.03000000000065</v>
      </c>
      <c r="F16" s="28">
        <v>8903.76</v>
      </c>
      <c r="G16" s="31">
        <f t="shared" si="0"/>
        <v>2.2864580521165006E-2</v>
      </c>
      <c r="H16" s="5">
        <f>D16*L2</f>
        <v>435.23649999999998</v>
      </c>
      <c r="I16" s="7">
        <f>D16*J2</f>
        <v>261.14189999999996</v>
      </c>
      <c r="J16" s="303"/>
      <c r="K16" s="304"/>
      <c r="L16" s="304"/>
      <c r="M16" s="1"/>
      <c r="N16" s="1"/>
      <c r="O16" s="3"/>
      <c r="P16" s="27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2.75" customHeight="1" thickBot="1">
      <c r="A17" s="32">
        <v>45673</v>
      </c>
      <c r="B17" s="12"/>
      <c r="C17" s="13"/>
      <c r="D17" s="18">
        <f t="shared" si="2"/>
        <v>8903.76</v>
      </c>
      <c r="E17" s="17"/>
      <c r="F17" s="28"/>
      <c r="G17" s="31"/>
      <c r="H17" s="5">
        <f>D17*L2</f>
        <v>445.18800000000005</v>
      </c>
      <c r="I17" s="7">
        <f>D17*J2</f>
        <v>267.11279999999999</v>
      </c>
      <c r="J17" s="303"/>
      <c r="K17" s="304"/>
      <c r="L17" s="304"/>
      <c r="M17" s="1"/>
      <c r="N17" s="1"/>
      <c r="O17" s="3"/>
      <c r="P17" s="27"/>
      <c r="Q17" s="3"/>
      <c r="R17" s="3"/>
      <c r="S17" s="3"/>
      <c r="T17" s="3"/>
      <c r="U17" s="3"/>
      <c r="V17" s="3"/>
      <c r="W17" s="3"/>
      <c r="X17" s="3"/>
      <c r="Y17" s="3"/>
      <c r="Z17" s="9"/>
    </row>
    <row r="18" spans="1:26" ht="22.75" customHeight="1" thickBot="1">
      <c r="A18" s="32">
        <v>45674</v>
      </c>
      <c r="B18" s="12"/>
      <c r="C18" s="13"/>
      <c r="D18" s="18">
        <f t="shared" si="2"/>
        <v>0</v>
      </c>
      <c r="E18" s="17"/>
      <c r="F18" s="28"/>
      <c r="G18" s="31"/>
      <c r="H18" s="5">
        <f>D18*L2</f>
        <v>0</v>
      </c>
      <c r="I18" s="8">
        <f>D18*J2</f>
        <v>0</v>
      </c>
      <c r="J18" s="303"/>
      <c r="K18" s="304"/>
      <c r="L18" s="304"/>
      <c r="M18" s="1"/>
      <c r="N18" s="1"/>
      <c r="O18" s="3"/>
      <c r="P18" s="3"/>
      <c r="Q18" s="3" t="s">
        <v>7</v>
      </c>
      <c r="R18" s="3"/>
      <c r="S18" s="3"/>
      <c r="T18" s="3"/>
      <c r="U18" s="3"/>
      <c r="V18" s="3"/>
      <c r="W18" s="3"/>
      <c r="Y18" s="3"/>
      <c r="Z18" s="3"/>
    </row>
    <row r="19" spans="1:26" ht="22.75" customHeight="1" thickBot="1">
      <c r="A19" s="32">
        <v>45675</v>
      </c>
      <c r="B19" s="12"/>
      <c r="C19" s="13"/>
      <c r="D19" s="18">
        <f t="shared" si="2"/>
        <v>0</v>
      </c>
      <c r="E19" s="17"/>
      <c r="F19" s="28"/>
      <c r="G19" s="31"/>
      <c r="H19" s="5">
        <f>D19*L2</f>
        <v>0</v>
      </c>
      <c r="I19" s="8">
        <f>D19*J2</f>
        <v>0</v>
      </c>
      <c r="J19" s="303"/>
      <c r="K19" s="304"/>
      <c r="L19" s="304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2.75" customHeight="1" thickBot="1">
      <c r="A20" s="32">
        <v>45676</v>
      </c>
      <c r="B20" s="12"/>
      <c r="C20" s="13"/>
      <c r="D20" s="18">
        <f t="shared" si="2"/>
        <v>0</v>
      </c>
      <c r="E20" s="17"/>
      <c r="F20" s="28"/>
      <c r="G20" s="31"/>
      <c r="H20" s="5">
        <f>D20*L2</f>
        <v>0</v>
      </c>
      <c r="I20" s="8">
        <f>D20*J2</f>
        <v>0</v>
      </c>
      <c r="J20" s="1"/>
      <c r="K20" s="35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2.75" customHeight="1" thickBot="1">
      <c r="A21" s="32">
        <v>45677</v>
      </c>
      <c r="B21" s="12"/>
      <c r="C21" s="13"/>
      <c r="D21" s="18">
        <f t="shared" si="2"/>
        <v>0</v>
      </c>
      <c r="E21" s="17"/>
      <c r="F21" s="28"/>
      <c r="G21" s="31"/>
      <c r="H21" s="5">
        <f>D21*L2</f>
        <v>0</v>
      </c>
      <c r="I21" s="8">
        <f>D21*J2</f>
        <v>0</v>
      </c>
      <c r="J21" s="1"/>
      <c r="K21" s="1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75" customHeight="1" thickBot="1">
      <c r="A22" s="32">
        <v>45678</v>
      </c>
      <c r="B22" s="12"/>
      <c r="C22" s="13"/>
      <c r="D22" s="18">
        <f t="shared" si="2"/>
        <v>0</v>
      </c>
      <c r="E22" s="17"/>
      <c r="F22" s="28"/>
      <c r="G22" s="31"/>
      <c r="H22" s="5">
        <f>D22*L2</f>
        <v>0</v>
      </c>
      <c r="I22" s="8">
        <f>D22*J2</f>
        <v>0</v>
      </c>
      <c r="J22" s="1"/>
      <c r="K22" s="1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75" customHeight="1" thickBot="1">
      <c r="A23" s="32">
        <v>45679</v>
      </c>
      <c r="B23" s="12"/>
      <c r="C23" s="13"/>
      <c r="D23" s="18">
        <f t="shared" si="2"/>
        <v>0</v>
      </c>
      <c r="E23" s="17"/>
      <c r="F23" s="28"/>
      <c r="G23" s="31"/>
      <c r="H23" s="5">
        <f>D23*L2</f>
        <v>0</v>
      </c>
      <c r="I23" s="8">
        <f>D23*J2</f>
        <v>0</v>
      </c>
      <c r="J23" s="1"/>
      <c r="K23" s="1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2.75" customHeight="1" thickBot="1">
      <c r="A24" s="32">
        <v>45680</v>
      </c>
      <c r="B24" s="12"/>
      <c r="C24" s="13"/>
      <c r="D24" s="18">
        <f t="shared" si="2"/>
        <v>0</v>
      </c>
      <c r="E24" s="17"/>
      <c r="F24" s="28"/>
      <c r="G24" s="31"/>
      <c r="H24" s="5">
        <f>D24*L2</f>
        <v>0</v>
      </c>
      <c r="I24" s="8">
        <f>D24*J2</f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2.75" customHeight="1" thickBot="1">
      <c r="A25" s="32">
        <v>45681</v>
      </c>
      <c r="B25" s="12"/>
      <c r="C25" s="13"/>
      <c r="D25" s="18">
        <f t="shared" ref="D25:D31" si="3">F24</f>
        <v>0</v>
      </c>
      <c r="E25" s="17"/>
      <c r="F25" s="28"/>
      <c r="G25" s="31"/>
      <c r="H25" s="5">
        <f t="shared" ref="H25:H32" si="4">D25*$L$2</f>
        <v>0</v>
      </c>
      <c r="I25" s="8">
        <f t="shared" ref="I25:I32" si="5">D25*$J$2</f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2.75" customHeight="1" thickBot="1">
      <c r="A26" s="32">
        <v>45682</v>
      </c>
      <c r="B26" s="12"/>
      <c r="C26" s="13"/>
      <c r="D26" s="18">
        <f t="shared" si="3"/>
        <v>0</v>
      </c>
      <c r="E26" s="17"/>
      <c r="F26" s="28"/>
      <c r="G26" s="31"/>
      <c r="H26" s="5">
        <f t="shared" si="4"/>
        <v>0</v>
      </c>
      <c r="I26" s="8">
        <f t="shared" si="5"/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2.75" customHeight="1" thickBot="1">
      <c r="A27" s="32">
        <v>45683</v>
      </c>
      <c r="B27" s="12"/>
      <c r="C27" s="13"/>
      <c r="D27" s="18">
        <f t="shared" si="3"/>
        <v>0</v>
      </c>
      <c r="E27" s="17"/>
      <c r="F27" s="28"/>
      <c r="G27" s="31"/>
      <c r="H27" s="5">
        <f t="shared" si="4"/>
        <v>0</v>
      </c>
      <c r="I27" s="8">
        <f t="shared" si="5"/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2.75" customHeight="1" thickBot="1">
      <c r="A28" s="32">
        <v>45684</v>
      </c>
      <c r="B28" s="12"/>
      <c r="C28" s="13"/>
      <c r="D28" s="18">
        <f t="shared" si="3"/>
        <v>0</v>
      </c>
      <c r="E28" s="17"/>
      <c r="F28" s="28"/>
      <c r="G28" s="31"/>
      <c r="H28" s="5">
        <f t="shared" si="4"/>
        <v>0</v>
      </c>
      <c r="I28" s="8">
        <f t="shared" si="5"/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2.75" customHeight="1" thickBot="1">
      <c r="A29" s="32">
        <v>45685</v>
      </c>
      <c r="B29" s="12"/>
      <c r="C29" s="13"/>
      <c r="D29" s="18">
        <f t="shared" si="3"/>
        <v>0</v>
      </c>
      <c r="E29" s="17"/>
      <c r="F29" s="28"/>
      <c r="G29" s="31"/>
      <c r="H29" s="5">
        <f t="shared" si="4"/>
        <v>0</v>
      </c>
      <c r="I29" s="8">
        <f t="shared" si="5"/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2.75" customHeight="1" thickBot="1">
      <c r="A30" s="32">
        <v>45686</v>
      </c>
      <c r="B30" s="12"/>
      <c r="C30" s="13"/>
      <c r="D30" s="18">
        <f t="shared" si="3"/>
        <v>0</v>
      </c>
      <c r="E30" s="17"/>
      <c r="F30" s="28"/>
      <c r="G30" s="31"/>
      <c r="H30" s="5">
        <f t="shared" si="4"/>
        <v>0</v>
      </c>
      <c r="I30" s="8">
        <f t="shared" si="5"/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2.75" customHeight="1" thickBot="1">
      <c r="A31" s="32">
        <v>45687</v>
      </c>
      <c r="B31" s="12"/>
      <c r="C31" s="13"/>
      <c r="D31" s="18">
        <f t="shared" si="3"/>
        <v>0</v>
      </c>
      <c r="E31" s="17"/>
      <c r="F31" s="28"/>
      <c r="G31" s="31"/>
      <c r="H31" s="5">
        <f t="shared" si="4"/>
        <v>0</v>
      </c>
      <c r="I31" s="8">
        <f t="shared" si="5"/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2.75" customHeight="1" thickBot="1">
      <c r="A32" s="32">
        <v>45688</v>
      </c>
      <c r="B32" s="12"/>
      <c r="C32" s="13"/>
      <c r="D32" s="18">
        <f t="shared" ref="D32" si="6">F31</f>
        <v>0</v>
      </c>
      <c r="E32" s="17"/>
      <c r="F32" s="28"/>
      <c r="G32" s="31"/>
      <c r="H32" s="5">
        <f t="shared" si="4"/>
        <v>0</v>
      </c>
      <c r="I32" s="8">
        <f t="shared" si="5"/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2.75" customHeight="1" thickBot="1">
      <c r="A33" s="36" t="s">
        <v>8</v>
      </c>
      <c r="B33" s="15">
        <f>COUNTA(B2:B31)</f>
        <v>8</v>
      </c>
      <c r="C33" s="16">
        <f>COUNTA(C2:C31)</f>
        <v>3</v>
      </c>
      <c r="D33" s="6"/>
      <c r="E33" s="6"/>
      <c r="F33" s="41" t="s">
        <v>19</v>
      </c>
      <c r="G33" s="42">
        <f>SUM(G3:G31)/SUM(B33,C33)</f>
        <v>5.32882564646096E-3</v>
      </c>
      <c r="H33" s="6"/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">
      <c r="A34" s="2"/>
      <c r="B34" s="2"/>
      <c r="C34" s="2"/>
      <c r="D34" s="3"/>
      <c r="E34" s="3"/>
      <c r="F34" s="41" t="s">
        <v>25</v>
      </c>
      <c r="G34" s="71">
        <v>0.43478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/>
      <c r="B35" s="2"/>
      <c r="C35" s="2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/>
      <c r="B36" s="2"/>
      <c r="C36" s="2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/>
      <c r="B37" s="2"/>
      <c r="C37" s="2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/>
      <c r="B38" s="2"/>
      <c r="C38" s="2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2"/>
      <c r="B39" s="2"/>
      <c r="C39" s="2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2"/>
      <c r="B40" s="2"/>
      <c r="C40" s="2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2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>
      <c r="A42" s="2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>
      <c r="A43" s="2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2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>
      <c r="A45" s="2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2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2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2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2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2"/>
      <c r="B50" s="2"/>
      <c r="C50" s="2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2"/>
      <c r="B51" s="2"/>
      <c r="C51" s="2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2"/>
      <c r="B52" s="2"/>
      <c r="C52" s="2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2"/>
      <c r="B53" s="2"/>
      <c r="C53" s="2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2"/>
      <c r="B54" s="2"/>
      <c r="C54" s="2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2"/>
      <c r="B55" s="2"/>
      <c r="C55" s="2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2"/>
      <c r="B56" s="2"/>
      <c r="C56" s="2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2"/>
      <c r="B57" s="2"/>
      <c r="C57" s="2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2"/>
      <c r="B58" s="2"/>
      <c r="C58" s="2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2"/>
      <c r="B59" s="2"/>
      <c r="C59" s="2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2"/>
      <c r="B60" s="2"/>
      <c r="C60" s="2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2"/>
      <c r="B61" s="2"/>
      <c r="C61" s="2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2"/>
      <c r="B62" s="2"/>
      <c r="C62" s="2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2"/>
      <c r="B63" s="2"/>
      <c r="C63" s="2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2"/>
      <c r="B64" s="2"/>
      <c r="C64" s="2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2"/>
      <c r="B65" s="2"/>
      <c r="C65" s="2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2"/>
      <c r="B66" s="2"/>
      <c r="C66" s="2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2"/>
      <c r="B67" s="2"/>
      <c r="C67" s="2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2"/>
      <c r="B68" s="2"/>
      <c r="C68" s="2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2"/>
      <c r="B69" s="2"/>
      <c r="C69" s="2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2"/>
      <c r="B70" s="2"/>
      <c r="C70" s="2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2"/>
      <c r="B71" s="2"/>
      <c r="C71" s="2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2"/>
      <c r="B72" s="2"/>
      <c r="C72" s="2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2"/>
      <c r="B73" s="2"/>
      <c r="C73" s="2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2"/>
      <c r="B74" s="2"/>
      <c r="C74" s="2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2"/>
      <c r="B75" s="2"/>
      <c r="C75" s="2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2"/>
      <c r="B76" s="2"/>
      <c r="C76" s="2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2"/>
      <c r="B77" s="2"/>
      <c r="C77" s="2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2"/>
      <c r="B78" s="2"/>
      <c r="C78" s="2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2"/>
      <c r="B79" s="2"/>
      <c r="C79" s="2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2"/>
      <c r="B80" s="2"/>
      <c r="C80" s="2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2"/>
      <c r="B81" s="2"/>
      <c r="C81" s="2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2"/>
      <c r="B82" s="2"/>
      <c r="C82" s="2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2"/>
      <c r="B83" s="2"/>
      <c r="C83" s="2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2"/>
      <c r="B84" s="2"/>
      <c r="C84" s="2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2"/>
      <c r="B85" s="2"/>
      <c r="C85" s="2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2"/>
      <c r="B86" s="2"/>
      <c r="C86" s="2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2"/>
      <c r="B87" s="2"/>
      <c r="C87" s="2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2"/>
      <c r="B88" s="2"/>
      <c r="C88" s="2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2"/>
      <c r="B89" s="2"/>
      <c r="C89" s="2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2"/>
      <c r="B90" s="2"/>
      <c r="C90" s="2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2"/>
      <c r="B91" s="2"/>
      <c r="C91" s="2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2"/>
      <c r="B92" s="2"/>
      <c r="C92" s="2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2"/>
      <c r="B93" s="2"/>
      <c r="C93" s="2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2"/>
      <c r="B94" s="2"/>
      <c r="C94" s="2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2"/>
      <c r="B95" s="2"/>
      <c r="C95" s="2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2"/>
      <c r="B96" s="2"/>
      <c r="C96" s="2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2"/>
      <c r="B97" s="2"/>
      <c r="C97" s="2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2"/>
      <c r="B98" s="2"/>
      <c r="C98" s="2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2"/>
      <c r="B99" s="2"/>
      <c r="C99" s="2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2"/>
      <c r="B100" s="2"/>
      <c r="C100" s="2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2"/>
      <c r="B101" s="2"/>
      <c r="C101" s="2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2"/>
      <c r="B102" s="2"/>
      <c r="C102" s="2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2"/>
      <c r="B103" s="2"/>
      <c r="C103" s="2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2"/>
      <c r="B104" s="2"/>
      <c r="C104" s="2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2"/>
      <c r="B105" s="2"/>
      <c r="C105" s="2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2"/>
      <c r="B106" s="2"/>
      <c r="C106" s="2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2"/>
      <c r="B107" s="2"/>
      <c r="C107" s="2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2"/>
      <c r="B108" s="2"/>
      <c r="C108" s="2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2"/>
      <c r="B109" s="2"/>
      <c r="C109" s="2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2"/>
      <c r="B110" s="2"/>
      <c r="C110" s="2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2"/>
      <c r="B111" s="2"/>
      <c r="C111" s="2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2"/>
      <c r="B112" s="2"/>
      <c r="C112" s="2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2"/>
      <c r="B113" s="2"/>
      <c r="C113" s="2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2"/>
      <c r="B114" s="2"/>
      <c r="C114" s="2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2"/>
      <c r="B115" s="2"/>
      <c r="C115" s="2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2"/>
      <c r="B116" s="2"/>
      <c r="C116" s="2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2"/>
      <c r="B117" s="2"/>
      <c r="C117" s="2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2"/>
      <c r="B118" s="2"/>
      <c r="C118" s="2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2"/>
      <c r="B119" s="2"/>
      <c r="C119" s="2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2"/>
      <c r="B120" s="2"/>
      <c r="C120" s="2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2"/>
      <c r="B121" s="2"/>
      <c r="C121" s="2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2"/>
      <c r="B122" s="2"/>
      <c r="C122" s="2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2"/>
      <c r="B123" s="2"/>
      <c r="C123" s="2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2"/>
      <c r="B124" s="2"/>
      <c r="C124" s="2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2"/>
      <c r="B125" s="2"/>
      <c r="C125" s="2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2"/>
      <c r="B126" s="2"/>
      <c r="C126" s="2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2"/>
      <c r="B127" s="2"/>
      <c r="C127" s="2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2"/>
      <c r="B128" s="2"/>
      <c r="C128" s="2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2"/>
      <c r="B129" s="2"/>
      <c r="C129" s="2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2"/>
      <c r="B130" s="2"/>
      <c r="C130" s="2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2"/>
      <c r="B131" s="2"/>
      <c r="C131" s="2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2"/>
      <c r="B132" s="2"/>
      <c r="C132" s="2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2"/>
      <c r="B133" s="2"/>
      <c r="C133" s="2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2"/>
      <c r="B134" s="2"/>
      <c r="C134" s="2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2"/>
      <c r="B135" s="2"/>
      <c r="C135" s="2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2"/>
      <c r="B136" s="2"/>
      <c r="C136" s="2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2"/>
      <c r="B137" s="2"/>
      <c r="C137" s="2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2"/>
      <c r="B138" s="2"/>
      <c r="C138" s="2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2"/>
      <c r="B139" s="2"/>
      <c r="C139" s="2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2"/>
      <c r="B140" s="2"/>
      <c r="C140" s="2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2"/>
      <c r="B141" s="2"/>
      <c r="C141" s="2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2"/>
      <c r="B142" s="2"/>
      <c r="C142" s="2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2"/>
      <c r="B143" s="2"/>
      <c r="C143" s="2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2"/>
      <c r="B144" s="2"/>
      <c r="C144" s="2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2"/>
      <c r="B145" s="2"/>
      <c r="C145" s="2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2"/>
      <c r="B146" s="2"/>
      <c r="C146" s="2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2"/>
      <c r="B147" s="2"/>
      <c r="C147" s="2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2"/>
      <c r="B148" s="2"/>
      <c r="C148" s="2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2"/>
      <c r="B149" s="2"/>
      <c r="C149" s="2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2"/>
      <c r="B150" s="2"/>
      <c r="C150" s="2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2"/>
      <c r="B151" s="2"/>
      <c r="C151" s="2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2"/>
      <c r="B152" s="2"/>
      <c r="C152" s="2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2"/>
      <c r="B153" s="2"/>
      <c r="C153" s="2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2"/>
      <c r="B154" s="2"/>
      <c r="C154" s="2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2"/>
      <c r="B155" s="2"/>
      <c r="C155" s="2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2"/>
      <c r="B156" s="2"/>
      <c r="C156" s="2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2"/>
      <c r="B157" s="2"/>
      <c r="C157" s="2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2"/>
      <c r="B158" s="2"/>
      <c r="C158" s="2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2"/>
      <c r="B159" s="2"/>
      <c r="C159" s="2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2"/>
      <c r="B160" s="2"/>
      <c r="C160" s="2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2"/>
      <c r="B161" s="2"/>
      <c r="C161" s="2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2"/>
      <c r="B162" s="2"/>
      <c r="C162" s="2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2"/>
      <c r="B163" s="2"/>
      <c r="C163" s="2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2"/>
      <c r="B164" s="2"/>
      <c r="C164" s="2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2"/>
      <c r="B165" s="2"/>
      <c r="C165" s="2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2"/>
      <c r="B166" s="2"/>
      <c r="C166" s="2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2"/>
      <c r="B167" s="2"/>
      <c r="C167" s="2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2"/>
      <c r="B168" s="2"/>
      <c r="C168" s="2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2"/>
      <c r="B169" s="2"/>
      <c r="C169" s="2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2"/>
      <c r="B170" s="2"/>
      <c r="C170" s="2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2"/>
      <c r="B171" s="2"/>
      <c r="C171" s="2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2"/>
      <c r="B172" s="2"/>
      <c r="C172" s="2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2"/>
      <c r="B173" s="2"/>
      <c r="C173" s="2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2"/>
      <c r="B174" s="2"/>
      <c r="C174" s="2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2"/>
      <c r="B175" s="2"/>
      <c r="C175" s="2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2"/>
      <c r="B176" s="2"/>
      <c r="C176" s="2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2"/>
      <c r="B177" s="2"/>
      <c r="C177" s="2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2"/>
      <c r="B178" s="2"/>
      <c r="C178" s="2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2"/>
      <c r="B179" s="2"/>
      <c r="C179" s="2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2"/>
      <c r="B180" s="2"/>
      <c r="C180" s="2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2"/>
      <c r="B181" s="2"/>
      <c r="C181" s="2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2"/>
      <c r="B182" s="2"/>
      <c r="C182" s="2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2"/>
      <c r="B183" s="2"/>
      <c r="C183" s="2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2"/>
      <c r="B184" s="2"/>
      <c r="C184" s="2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2"/>
      <c r="B185" s="2"/>
      <c r="C185" s="2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2"/>
      <c r="B186" s="2"/>
      <c r="C186" s="2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2"/>
      <c r="B187" s="2"/>
      <c r="C187" s="2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2"/>
      <c r="B188" s="2"/>
      <c r="C188" s="2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2"/>
      <c r="B189" s="2"/>
      <c r="C189" s="2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2"/>
      <c r="B190" s="2"/>
      <c r="C190" s="2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2"/>
      <c r="B191" s="2"/>
      <c r="C191" s="2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2"/>
      <c r="B192" s="2"/>
      <c r="C192" s="2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2"/>
      <c r="B193" s="2"/>
      <c r="C193" s="2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2"/>
      <c r="B194" s="2"/>
      <c r="C194" s="2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2"/>
      <c r="B195" s="2"/>
      <c r="C195" s="2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2"/>
      <c r="B196" s="2"/>
      <c r="C196" s="2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2"/>
      <c r="B197" s="2"/>
      <c r="C197" s="2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2"/>
      <c r="B198" s="2"/>
      <c r="C198" s="2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2"/>
      <c r="B199" s="2"/>
      <c r="C199" s="2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2"/>
      <c r="B200" s="2"/>
      <c r="C200" s="2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2"/>
      <c r="B201" s="2"/>
      <c r="C201" s="2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2"/>
      <c r="B202" s="2"/>
      <c r="C202" s="2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2"/>
      <c r="B203" s="2"/>
      <c r="C203" s="2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2"/>
      <c r="B204" s="2"/>
      <c r="C204" s="2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2"/>
      <c r="B205" s="2"/>
      <c r="C205" s="2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2"/>
      <c r="B206" s="2"/>
      <c r="C206" s="2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2"/>
      <c r="B207" s="2"/>
      <c r="C207" s="2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2"/>
      <c r="B208" s="2"/>
      <c r="C208" s="2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2"/>
      <c r="B209" s="2"/>
      <c r="C209" s="2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2"/>
      <c r="B210" s="2"/>
      <c r="C210" s="2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2"/>
      <c r="B211" s="2"/>
      <c r="C211" s="2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2"/>
      <c r="B212" s="2"/>
      <c r="C212" s="2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2"/>
      <c r="B213" s="2"/>
      <c r="C213" s="2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2"/>
      <c r="B214" s="2"/>
      <c r="C214" s="2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2"/>
      <c r="B215" s="2"/>
      <c r="C215" s="2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2"/>
      <c r="B216" s="2"/>
      <c r="C216" s="2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2"/>
      <c r="B217" s="2"/>
      <c r="C217" s="2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2"/>
      <c r="B218" s="2"/>
      <c r="C218" s="2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2"/>
      <c r="B219" s="2"/>
      <c r="C219" s="2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2"/>
      <c r="B220" s="2"/>
      <c r="C220" s="2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2"/>
      <c r="B221" s="2"/>
      <c r="C221" s="2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2"/>
      <c r="B222" s="2"/>
      <c r="C222" s="2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2"/>
      <c r="B223" s="2"/>
      <c r="C223" s="2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2"/>
      <c r="B224" s="2"/>
      <c r="C224" s="2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2"/>
      <c r="B225" s="2"/>
      <c r="C225" s="2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2"/>
      <c r="B226" s="2"/>
      <c r="C226" s="2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2"/>
      <c r="B227" s="2"/>
      <c r="C227" s="2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2"/>
      <c r="B228" s="2"/>
      <c r="C228" s="2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2"/>
      <c r="B229" s="2"/>
      <c r="C229" s="2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2"/>
      <c r="B230" s="2"/>
      <c r="C230" s="2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2"/>
      <c r="B231" s="2"/>
      <c r="C231" s="2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2"/>
      <c r="B232" s="2"/>
      <c r="C232" s="2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2"/>
      <c r="B233" s="2"/>
      <c r="C233" s="2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2"/>
      <c r="B234" s="2"/>
      <c r="C234" s="2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2"/>
      <c r="B235" s="2"/>
      <c r="C235" s="2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2"/>
      <c r="B236" s="2"/>
      <c r="C236" s="2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2"/>
      <c r="B237" s="2"/>
      <c r="C237" s="2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2"/>
      <c r="B238" s="2"/>
      <c r="C238" s="2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2"/>
      <c r="B239" s="2"/>
      <c r="C239" s="2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2"/>
      <c r="B240" s="2"/>
      <c r="C240" s="2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2"/>
      <c r="B241" s="2"/>
      <c r="C241" s="2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2"/>
      <c r="B242" s="2"/>
      <c r="C242" s="2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2"/>
      <c r="B243" s="2"/>
      <c r="C243" s="2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2"/>
      <c r="B244" s="2"/>
      <c r="C244" s="2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2"/>
      <c r="B245" s="2"/>
      <c r="C245" s="2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2"/>
      <c r="B246" s="2"/>
      <c r="C246" s="2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2"/>
      <c r="B247" s="2"/>
      <c r="C247" s="2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2"/>
      <c r="B248" s="2"/>
      <c r="C248" s="2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2"/>
      <c r="B249" s="2"/>
      <c r="C249" s="2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2"/>
      <c r="B250" s="2"/>
      <c r="C250" s="2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2"/>
      <c r="B251" s="2"/>
      <c r="C251" s="2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2"/>
      <c r="B252" s="2"/>
      <c r="C252" s="2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2"/>
      <c r="B253" s="2"/>
      <c r="C253" s="2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2"/>
      <c r="B254" s="2"/>
      <c r="C254" s="2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2"/>
      <c r="B255" s="2"/>
      <c r="C255" s="2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2"/>
      <c r="B256" s="2"/>
      <c r="C256" s="2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2"/>
      <c r="B257" s="2"/>
      <c r="C257" s="2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2"/>
      <c r="B258" s="2"/>
      <c r="C258" s="2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2"/>
      <c r="B259" s="2"/>
      <c r="C259" s="2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2"/>
      <c r="B260" s="2"/>
      <c r="C260" s="2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2"/>
      <c r="B261" s="2"/>
      <c r="C261" s="2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2"/>
      <c r="B262" s="2"/>
      <c r="C262" s="2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2"/>
      <c r="B263" s="2"/>
      <c r="C263" s="2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2"/>
      <c r="B264" s="2"/>
      <c r="C264" s="2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2"/>
      <c r="B265" s="2"/>
      <c r="C265" s="2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2"/>
      <c r="B266" s="2"/>
      <c r="C266" s="2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2"/>
      <c r="B267" s="2"/>
      <c r="C267" s="2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2"/>
      <c r="B268" s="2"/>
      <c r="C268" s="2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2"/>
      <c r="B269" s="2"/>
      <c r="C269" s="2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2"/>
      <c r="B270" s="2"/>
      <c r="C270" s="2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2"/>
      <c r="B271" s="2"/>
      <c r="C271" s="2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2"/>
      <c r="B272" s="2"/>
      <c r="C272" s="2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2"/>
      <c r="B273" s="2"/>
      <c r="C273" s="2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2"/>
      <c r="B274" s="2"/>
      <c r="C274" s="2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2"/>
      <c r="B275" s="2"/>
      <c r="C275" s="2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2"/>
      <c r="B276" s="2"/>
      <c r="C276" s="2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2"/>
      <c r="B277" s="2"/>
      <c r="C277" s="2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2"/>
      <c r="B278" s="2"/>
      <c r="C278" s="2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2"/>
      <c r="B279" s="2"/>
      <c r="C279" s="2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2"/>
      <c r="B280" s="2"/>
      <c r="C280" s="2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2"/>
      <c r="B281" s="2"/>
      <c r="C281" s="2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2"/>
      <c r="B282" s="2"/>
      <c r="C282" s="2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2"/>
      <c r="B283" s="2"/>
      <c r="C283" s="2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2"/>
      <c r="B284" s="2"/>
      <c r="C284" s="2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2"/>
      <c r="B285" s="2"/>
      <c r="C285" s="2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2"/>
      <c r="B286" s="2"/>
      <c r="C286" s="2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2"/>
      <c r="B287" s="2"/>
      <c r="C287" s="2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2"/>
      <c r="B288" s="2"/>
      <c r="C288" s="2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2"/>
      <c r="B289" s="2"/>
      <c r="C289" s="2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2"/>
      <c r="B290" s="2"/>
      <c r="C290" s="2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2"/>
      <c r="B291" s="2"/>
      <c r="C291" s="2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2"/>
      <c r="B292" s="2"/>
      <c r="C292" s="2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2"/>
      <c r="B293" s="2"/>
      <c r="C293" s="2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2"/>
      <c r="B294" s="2"/>
      <c r="C294" s="2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2"/>
      <c r="B295" s="2"/>
      <c r="C295" s="2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2"/>
      <c r="B296" s="2"/>
      <c r="C296" s="2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2"/>
      <c r="B297" s="2"/>
      <c r="C297" s="2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2"/>
      <c r="B298" s="2"/>
      <c r="C298" s="2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2"/>
      <c r="B299" s="2"/>
      <c r="C299" s="2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2"/>
      <c r="B300" s="2"/>
      <c r="C300" s="2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2"/>
      <c r="B301" s="2"/>
      <c r="C301" s="2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2"/>
      <c r="B302" s="2"/>
      <c r="C302" s="2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2"/>
      <c r="B303" s="2"/>
      <c r="C303" s="2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2"/>
      <c r="B304" s="2"/>
      <c r="C304" s="2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2"/>
      <c r="B305" s="2"/>
      <c r="C305" s="2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2"/>
      <c r="B306" s="2"/>
      <c r="C306" s="2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2"/>
      <c r="B307" s="2"/>
      <c r="C307" s="2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2"/>
      <c r="B308" s="2"/>
      <c r="C308" s="2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2"/>
      <c r="B309" s="2"/>
      <c r="C309" s="2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2"/>
      <c r="B310" s="2"/>
      <c r="C310" s="2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2"/>
      <c r="B311" s="2"/>
      <c r="C311" s="2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2"/>
      <c r="B312" s="2"/>
      <c r="C312" s="2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2"/>
      <c r="B313" s="2"/>
      <c r="C313" s="2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2"/>
      <c r="B314" s="2"/>
      <c r="C314" s="2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2"/>
      <c r="B315" s="2"/>
      <c r="C315" s="2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2"/>
      <c r="B316" s="2"/>
      <c r="C316" s="2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2"/>
      <c r="B317" s="2"/>
      <c r="C317" s="2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2"/>
      <c r="B318" s="2"/>
      <c r="C318" s="2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2"/>
      <c r="B319" s="2"/>
      <c r="C319" s="2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2"/>
      <c r="B320" s="2"/>
      <c r="C320" s="2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2"/>
      <c r="B321" s="2"/>
      <c r="C321" s="2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2"/>
      <c r="B322" s="2"/>
      <c r="C322" s="2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2"/>
      <c r="B323" s="2"/>
      <c r="C323" s="2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2"/>
      <c r="B324" s="2"/>
      <c r="C324" s="2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2"/>
      <c r="B325" s="2"/>
      <c r="C325" s="2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2"/>
      <c r="B326" s="2"/>
      <c r="C326" s="2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2"/>
      <c r="B327" s="2"/>
      <c r="C327" s="2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2"/>
      <c r="B328" s="2"/>
      <c r="C328" s="2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2"/>
      <c r="B329" s="2"/>
      <c r="C329" s="2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2"/>
      <c r="B330" s="2"/>
      <c r="C330" s="2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2"/>
      <c r="B331" s="2"/>
      <c r="C331" s="2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2"/>
      <c r="B332" s="2"/>
      <c r="C332" s="2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2"/>
      <c r="B333" s="2"/>
      <c r="C333" s="2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2"/>
      <c r="B334" s="2"/>
      <c r="C334" s="2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2"/>
      <c r="B335" s="2"/>
      <c r="C335" s="2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2"/>
      <c r="B336" s="2"/>
      <c r="C336" s="2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2"/>
      <c r="B337" s="2"/>
      <c r="C337" s="2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2"/>
      <c r="B338" s="2"/>
      <c r="C338" s="2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2"/>
      <c r="B339" s="2"/>
      <c r="C339" s="2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2"/>
      <c r="B340" s="2"/>
      <c r="C340" s="2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2"/>
      <c r="B341" s="2"/>
      <c r="C341" s="2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2"/>
      <c r="B342" s="2"/>
      <c r="C342" s="2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2"/>
      <c r="B343" s="2"/>
      <c r="C343" s="2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2"/>
      <c r="B344" s="2"/>
      <c r="C344" s="2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2"/>
      <c r="B345" s="2"/>
      <c r="C345" s="2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2"/>
      <c r="B346" s="2"/>
      <c r="C346" s="2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2"/>
      <c r="B347" s="2"/>
      <c r="C347" s="2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2"/>
      <c r="B348" s="2"/>
      <c r="C348" s="2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2"/>
      <c r="B349" s="2"/>
      <c r="C349" s="2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2"/>
      <c r="B350" s="2"/>
      <c r="C350" s="2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2"/>
      <c r="B351" s="2"/>
      <c r="C351" s="2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2"/>
      <c r="B352" s="2"/>
      <c r="C352" s="2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2"/>
      <c r="B353" s="2"/>
      <c r="C353" s="2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2"/>
      <c r="B354" s="2"/>
      <c r="C354" s="2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2"/>
      <c r="B355" s="2"/>
      <c r="C355" s="2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2"/>
      <c r="B356" s="2"/>
      <c r="C356" s="2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2"/>
      <c r="B357" s="2"/>
      <c r="C357" s="2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2"/>
      <c r="B358" s="2"/>
      <c r="C358" s="2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2"/>
      <c r="B359" s="2"/>
      <c r="C359" s="2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2"/>
      <c r="B360" s="2"/>
      <c r="C360" s="2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2"/>
      <c r="B361" s="2"/>
      <c r="C361" s="2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2"/>
      <c r="B362" s="2"/>
      <c r="C362" s="2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2"/>
      <c r="B363" s="2"/>
      <c r="C363" s="2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2"/>
      <c r="B364" s="2"/>
      <c r="C364" s="2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2"/>
      <c r="B365" s="2"/>
      <c r="C365" s="2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2"/>
      <c r="B366" s="2"/>
      <c r="C366" s="2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2"/>
      <c r="B367" s="2"/>
      <c r="C367" s="2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2"/>
      <c r="B368" s="2"/>
      <c r="C368" s="2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2"/>
      <c r="B369" s="2"/>
      <c r="C369" s="2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2"/>
      <c r="B370" s="2"/>
      <c r="C370" s="2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2"/>
      <c r="B371" s="2"/>
      <c r="C371" s="2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2"/>
      <c r="B372" s="2"/>
      <c r="C372" s="2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2"/>
      <c r="B373" s="2"/>
      <c r="C373" s="2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2"/>
      <c r="B374" s="2"/>
      <c r="C374" s="2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2"/>
      <c r="B375" s="2"/>
      <c r="C375" s="2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2"/>
      <c r="B376" s="2"/>
      <c r="C376" s="2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2"/>
      <c r="B377" s="2"/>
      <c r="C377" s="2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2"/>
      <c r="B378" s="2"/>
      <c r="C378" s="2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2"/>
      <c r="B379" s="2"/>
      <c r="C379" s="2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2"/>
      <c r="B380" s="2"/>
      <c r="C380" s="2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2"/>
      <c r="B381" s="2"/>
      <c r="C381" s="2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2"/>
      <c r="B382" s="2"/>
      <c r="C382" s="2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2"/>
      <c r="B383" s="2"/>
      <c r="C383" s="2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2"/>
      <c r="B384" s="2"/>
      <c r="C384" s="2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2"/>
      <c r="B385" s="2"/>
      <c r="C385" s="2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2"/>
      <c r="B386" s="2"/>
      <c r="C386" s="2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2"/>
      <c r="B387" s="2"/>
      <c r="C387" s="2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2"/>
      <c r="B388" s="2"/>
      <c r="C388" s="2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2"/>
      <c r="B389" s="2"/>
      <c r="C389" s="2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2"/>
      <c r="B390" s="2"/>
      <c r="C390" s="2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2"/>
      <c r="B391" s="2"/>
      <c r="C391" s="2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2"/>
      <c r="B392" s="2"/>
      <c r="C392" s="2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2"/>
      <c r="B393" s="2"/>
      <c r="C393" s="2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2"/>
      <c r="B394" s="2"/>
      <c r="C394" s="2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2"/>
      <c r="B395" s="2"/>
      <c r="C395" s="2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2"/>
      <c r="B396" s="2"/>
      <c r="C396" s="2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2"/>
      <c r="B397" s="2"/>
      <c r="C397" s="2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2"/>
      <c r="B398" s="2"/>
      <c r="C398" s="2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2"/>
      <c r="B399" s="2"/>
      <c r="C399" s="2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2"/>
      <c r="B400" s="2"/>
      <c r="C400" s="2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2"/>
      <c r="B401" s="2"/>
      <c r="C401" s="2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2"/>
      <c r="B402" s="2"/>
      <c r="C402" s="2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2"/>
      <c r="B403" s="2"/>
      <c r="C403" s="2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2"/>
      <c r="B404" s="2"/>
      <c r="C404" s="2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2"/>
      <c r="B405" s="2"/>
      <c r="C405" s="2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2"/>
      <c r="B406" s="2"/>
      <c r="C406" s="2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2"/>
      <c r="B407" s="2"/>
      <c r="C407" s="2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2"/>
      <c r="B408" s="2"/>
      <c r="C408" s="2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2"/>
      <c r="B409" s="2"/>
      <c r="C409" s="2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2"/>
      <c r="B410" s="2"/>
      <c r="C410" s="2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2"/>
      <c r="B411" s="2"/>
      <c r="C411" s="2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2"/>
      <c r="B412" s="2"/>
      <c r="C412" s="2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2"/>
      <c r="B413" s="2"/>
      <c r="C413" s="2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2"/>
      <c r="B414" s="2"/>
      <c r="C414" s="2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2"/>
      <c r="B415" s="2"/>
      <c r="C415" s="2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2"/>
      <c r="B416" s="2"/>
      <c r="C416" s="2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2"/>
      <c r="B417" s="2"/>
      <c r="C417" s="2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2"/>
      <c r="B418" s="2"/>
      <c r="C418" s="2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2"/>
      <c r="B419" s="2"/>
      <c r="C419" s="2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2"/>
      <c r="B420" s="2"/>
      <c r="C420" s="2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2"/>
      <c r="B421" s="2"/>
      <c r="C421" s="2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2"/>
      <c r="B422" s="2"/>
      <c r="C422" s="2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2"/>
      <c r="B423" s="2"/>
      <c r="C423" s="2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2"/>
      <c r="B424" s="2"/>
      <c r="C424" s="2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2"/>
      <c r="B425" s="2"/>
      <c r="C425" s="2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2"/>
      <c r="B426" s="2"/>
      <c r="C426" s="2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2"/>
      <c r="B427" s="2"/>
      <c r="C427" s="2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2"/>
      <c r="B428" s="2"/>
      <c r="C428" s="2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2"/>
      <c r="B429" s="2"/>
      <c r="C429" s="2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2"/>
      <c r="B430" s="2"/>
      <c r="C430" s="2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2"/>
      <c r="B431" s="2"/>
      <c r="C431" s="2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2"/>
      <c r="B432" s="2"/>
      <c r="C432" s="2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2"/>
      <c r="B433" s="2"/>
      <c r="C433" s="2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2"/>
      <c r="B434" s="2"/>
      <c r="C434" s="2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2"/>
      <c r="B435" s="2"/>
      <c r="C435" s="2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2"/>
      <c r="B436" s="2"/>
      <c r="C436" s="2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2"/>
      <c r="B437" s="2"/>
      <c r="C437" s="2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2"/>
      <c r="B438" s="2"/>
      <c r="C438" s="2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2"/>
      <c r="B439" s="2"/>
      <c r="C439" s="2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2"/>
      <c r="B440" s="2"/>
      <c r="C440" s="2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2"/>
      <c r="B441" s="2"/>
      <c r="C441" s="2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2"/>
      <c r="B442" s="2"/>
      <c r="C442" s="2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2"/>
      <c r="B443" s="2"/>
      <c r="C443" s="2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2"/>
      <c r="B444" s="2"/>
      <c r="C444" s="2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2"/>
      <c r="B445" s="2"/>
      <c r="C445" s="2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2"/>
      <c r="B446" s="2"/>
      <c r="C446" s="2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2"/>
      <c r="B447" s="2"/>
      <c r="C447" s="2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2"/>
      <c r="B448" s="2"/>
      <c r="C448" s="2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2"/>
      <c r="B449" s="2"/>
      <c r="C449" s="2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2"/>
      <c r="B450" s="2"/>
      <c r="C450" s="2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2"/>
      <c r="B451" s="2"/>
      <c r="C451" s="2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2"/>
      <c r="B452" s="2"/>
      <c r="C452" s="2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2"/>
      <c r="B453" s="2"/>
      <c r="C453" s="2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2"/>
      <c r="B454" s="2"/>
      <c r="C454" s="2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2"/>
      <c r="B455" s="2"/>
      <c r="C455" s="2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2"/>
      <c r="B456" s="2"/>
      <c r="C456" s="2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2"/>
      <c r="B457" s="2"/>
      <c r="C457" s="2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2"/>
      <c r="B458" s="2"/>
      <c r="C458" s="2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2"/>
      <c r="B459" s="2"/>
      <c r="C459" s="2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2"/>
      <c r="B460" s="2"/>
      <c r="C460" s="2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2"/>
      <c r="B461" s="2"/>
      <c r="C461" s="2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2"/>
      <c r="B462" s="2"/>
      <c r="C462" s="2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2"/>
      <c r="B463" s="2"/>
      <c r="C463" s="2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2"/>
      <c r="B464" s="2"/>
      <c r="C464" s="2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2"/>
      <c r="B465" s="2"/>
      <c r="C465" s="2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2"/>
      <c r="B466" s="2"/>
      <c r="C466" s="2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2"/>
      <c r="B467" s="2"/>
      <c r="C467" s="2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2"/>
      <c r="B468" s="2"/>
      <c r="C468" s="2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2"/>
      <c r="B469" s="2"/>
      <c r="C469" s="2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2"/>
      <c r="B470" s="2"/>
      <c r="C470" s="2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2"/>
      <c r="B471" s="2"/>
      <c r="C471" s="2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2"/>
      <c r="B472" s="2"/>
      <c r="C472" s="2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2"/>
      <c r="B473" s="2"/>
      <c r="C473" s="2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2"/>
      <c r="B474" s="2"/>
      <c r="C474" s="2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2"/>
      <c r="B475" s="2"/>
      <c r="C475" s="2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2"/>
      <c r="B476" s="2"/>
      <c r="C476" s="2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2"/>
      <c r="B477" s="2"/>
      <c r="C477" s="2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2"/>
      <c r="B478" s="2"/>
      <c r="C478" s="2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2"/>
      <c r="B479" s="2"/>
      <c r="C479" s="2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2"/>
      <c r="B480" s="2"/>
      <c r="C480" s="2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2"/>
      <c r="B481" s="2"/>
      <c r="C481" s="2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2"/>
      <c r="B482" s="2"/>
      <c r="C482" s="2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2"/>
      <c r="B483" s="2"/>
      <c r="C483" s="2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2"/>
      <c r="B484" s="2"/>
      <c r="C484" s="2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2"/>
      <c r="B485" s="2"/>
      <c r="C485" s="2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2"/>
      <c r="B486" s="2"/>
      <c r="C486" s="2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2"/>
      <c r="B487" s="2"/>
      <c r="C487" s="2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2"/>
      <c r="B488" s="2"/>
      <c r="C488" s="2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2"/>
      <c r="B489" s="2"/>
      <c r="C489" s="2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2"/>
      <c r="B490" s="2"/>
      <c r="C490" s="2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2"/>
      <c r="B491" s="2"/>
      <c r="C491" s="2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2"/>
      <c r="B492" s="2"/>
      <c r="C492" s="2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2"/>
      <c r="B493" s="2"/>
      <c r="C493" s="2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2"/>
      <c r="B494" s="2"/>
      <c r="C494" s="2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2"/>
      <c r="B495" s="2"/>
      <c r="C495" s="2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2"/>
      <c r="B496" s="2"/>
      <c r="C496" s="2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2"/>
      <c r="B497" s="2"/>
      <c r="C497" s="2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2"/>
      <c r="B498" s="2"/>
      <c r="C498" s="2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2"/>
      <c r="B499" s="2"/>
      <c r="C499" s="2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2"/>
      <c r="B500" s="2"/>
      <c r="C500" s="2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2"/>
      <c r="B501" s="2"/>
      <c r="C501" s="2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2"/>
      <c r="B502" s="2"/>
      <c r="C502" s="2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2"/>
      <c r="B503" s="2"/>
      <c r="C503" s="2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2"/>
      <c r="B504" s="2"/>
      <c r="C504" s="2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2"/>
      <c r="B505" s="2"/>
      <c r="C505" s="2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2"/>
      <c r="B506" s="2"/>
      <c r="C506" s="2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2"/>
      <c r="B507" s="2"/>
      <c r="C507" s="2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2"/>
      <c r="B508" s="2"/>
      <c r="C508" s="2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2"/>
      <c r="B509" s="2"/>
      <c r="C509" s="2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2"/>
      <c r="B510" s="2"/>
      <c r="C510" s="2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2"/>
      <c r="B511" s="2"/>
      <c r="C511" s="2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2"/>
      <c r="B512" s="2"/>
      <c r="C512" s="2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2"/>
      <c r="B513" s="2"/>
      <c r="C513" s="2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2"/>
      <c r="B514" s="2"/>
      <c r="C514" s="2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2"/>
      <c r="B515" s="2"/>
      <c r="C515" s="2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2"/>
      <c r="B516" s="2"/>
      <c r="C516" s="2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2"/>
      <c r="B517" s="2"/>
      <c r="C517" s="2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2"/>
      <c r="B518" s="2"/>
      <c r="C518" s="2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2"/>
      <c r="B519" s="2"/>
      <c r="C519" s="2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2"/>
      <c r="B520" s="2"/>
      <c r="C520" s="2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2"/>
      <c r="B521" s="2"/>
      <c r="C521" s="2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2"/>
      <c r="B522" s="2"/>
      <c r="C522" s="2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2"/>
      <c r="B523" s="2"/>
      <c r="C523" s="2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2"/>
      <c r="B524" s="2"/>
      <c r="C524" s="2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2"/>
      <c r="B525" s="2"/>
      <c r="C525" s="2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2"/>
      <c r="B526" s="2"/>
      <c r="C526" s="2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2"/>
      <c r="B527" s="2"/>
      <c r="C527" s="2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2"/>
      <c r="B528" s="2"/>
      <c r="C528" s="2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2"/>
      <c r="B529" s="2"/>
      <c r="C529" s="2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2"/>
      <c r="B530" s="2"/>
      <c r="C530" s="2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2"/>
      <c r="B531" s="2"/>
      <c r="C531" s="2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2"/>
      <c r="B532" s="2"/>
      <c r="C532" s="2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2"/>
      <c r="B533" s="2"/>
      <c r="C533" s="2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2"/>
      <c r="B534" s="2"/>
      <c r="C534" s="2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2"/>
      <c r="B535" s="2"/>
      <c r="C535" s="2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2"/>
      <c r="B536" s="2"/>
      <c r="C536" s="2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2"/>
      <c r="B537" s="2"/>
      <c r="C537" s="2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2"/>
      <c r="B538" s="2"/>
      <c r="C538" s="2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2"/>
      <c r="B539" s="2"/>
      <c r="C539" s="2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2"/>
      <c r="B540" s="2"/>
      <c r="C540" s="2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2"/>
      <c r="B541" s="2"/>
      <c r="C541" s="2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2"/>
      <c r="B542" s="2"/>
      <c r="C542" s="2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2"/>
      <c r="B543" s="2"/>
      <c r="C543" s="2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2"/>
      <c r="B544" s="2"/>
      <c r="C544" s="2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2"/>
      <c r="B545" s="2"/>
      <c r="C545" s="2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2"/>
      <c r="B546" s="2"/>
      <c r="C546" s="2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2"/>
      <c r="B547" s="2"/>
      <c r="C547" s="2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2"/>
      <c r="B548" s="2"/>
      <c r="C548" s="2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2"/>
      <c r="B549" s="2"/>
      <c r="C549" s="2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2"/>
      <c r="B550" s="2"/>
      <c r="C550" s="2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2"/>
      <c r="B551" s="2"/>
      <c r="C551" s="2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2"/>
      <c r="B552" s="2"/>
      <c r="C552" s="2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2"/>
      <c r="B553" s="2"/>
      <c r="C553" s="2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2"/>
      <c r="B554" s="2"/>
      <c r="C554" s="2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2"/>
      <c r="B555" s="2"/>
      <c r="C555" s="2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2"/>
      <c r="B556" s="2"/>
      <c r="C556" s="2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2"/>
      <c r="B557" s="2"/>
      <c r="C557" s="2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2"/>
      <c r="B558" s="2"/>
      <c r="C558" s="2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2"/>
      <c r="B559" s="2"/>
      <c r="C559" s="2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2"/>
      <c r="B560" s="2"/>
      <c r="C560" s="2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2"/>
      <c r="B561" s="2"/>
      <c r="C561" s="2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2"/>
      <c r="B562" s="2"/>
      <c r="C562" s="2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2"/>
      <c r="B563" s="2"/>
      <c r="C563" s="2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2"/>
      <c r="B564" s="2"/>
      <c r="C564" s="2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2"/>
      <c r="B565" s="2"/>
      <c r="C565" s="2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2"/>
      <c r="B566" s="2"/>
      <c r="C566" s="2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2"/>
      <c r="B567" s="2"/>
      <c r="C567" s="2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2"/>
      <c r="B568" s="2"/>
      <c r="C568" s="2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2"/>
      <c r="B569" s="2"/>
      <c r="C569" s="2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2"/>
      <c r="B570" s="2"/>
      <c r="C570" s="2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2"/>
      <c r="B571" s="2"/>
      <c r="C571" s="2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2"/>
      <c r="B572" s="2"/>
      <c r="C572" s="2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2"/>
      <c r="B573" s="2"/>
      <c r="C573" s="2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2"/>
      <c r="B574" s="2"/>
      <c r="C574" s="2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2"/>
      <c r="B575" s="2"/>
      <c r="C575" s="2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2"/>
      <c r="B576" s="2"/>
      <c r="C576" s="2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2"/>
      <c r="B577" s="2"/>
      <c r="C577" s="2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2"/>
      <c r="B578" s="2"/>
      <c r="C578" s="2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2"/>
      <c r="B579" s="2"/>
      <c r="C579" s="2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2"/>
      <c r="B580" s="2"/>
      <c r="C580" s="2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2"/>
      <c r="B581" s="2"/>
      <c r="C581" s="2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2"/>
      <c r="B582" s="2"/>
      <c r="C582" s="2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2"/>
      <c r="B583" s="2"/>
      <c r="C583" s="2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2"/>
      <c r="B584" s="2"/>
      <c r="C584" s="2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2"/>
      <c r="B585" s="2"/>
      <c r="C585" s="2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2"/>
      <c r="B586" s="2"/>
      <c r="C586" s="2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2"/>
      <c r="B587" s="2"/>
      <c r="C587" s="2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2"/>
      <c r="B588" s="2"/>
      <c r="C588" s="2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2"/>
      <c r="B589" s="2"/>
      <c r="C589" s="2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2"/>
      <c r="B590" s="2"/>
      <c r="C590" s="2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2"/>
      <c r="B591" s="2"/>
      <c r="C591" s="2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2"/>
      <c r="B592" s="2"/>
      <c r="C592" s="2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2"/>
      <c r="B593" s="2"/>
      <c r="C593" s="2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2"/>
      <c r="B594" s="2"/>
      <c r="C594" s="2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2"/>
      <c r="B595" s="2"/>
      <c r="C595" s="2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2"/>
      <c r="B596" s="2"/>
      <c r="C596" s="2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2"/>
      <c r="B597" s="2"/>
      <c r="C597" s="2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2"/>
      <c r="B598" s="2"/>
      <c r="C598" s="2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2"/>
      <c r="B599" s="2"/>
      <c r="C599" s="2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2"/>
      <c r="B600" s="2"/>
      <c r="C600" s="2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2"/>
      <c r="B601" s="2"/>
      <c r="C601" s="2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2"/>
      <c r="B602" s="2"/>
      <c r="C602" s="2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2"/>
      <c r="B603" s="2"/>
      <c r="C603" s="2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2"/>
      <c r="B604" s="2"/>
      <c r="C604" s="2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2"/>
      <c r="B605" s="2"/>
      <c r="C605" s="2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2"/>
      <c r="B606" s="2"/>
      <c r="C606" s="2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2"/>
      <c r="B607" s="2"/>
      <c r="C607" s="2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2"/>
      <c r="B608" s="2"/>
      <c r="C608" s="2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2"/>
      <c r="B609" s="2"/>
      <c r="C609" s="2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2"/>
      <c r="B610" s="2"/>
      <c r="C610" s="2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2"/>
      <c r="B611" s="2"/>
      <c r="C611" s="2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2"/>
      <c r="B612" s="2"/>
      <c r="C612" s="2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2"/>
      <c r="B613" s="2"/>
      <c r="C613" s="2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2"/>
      <c r="B614" s="2"/>
      <c r="C614" s="2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2"/>
      <c r="B615" s="2"/>
      <c r="C615" s="2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2"/>
      <c r="B616" s="2"/>
      <c r="C616" s="2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2"/>
      <c r="B617" s="2"/>
      <c r="C617" s="2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2"/>
      <c r="B618" s="2"/>
      <c r="C618" s="2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2"/>
      <c r="B619" s="2"/>
      <c r="C619" s="2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2"/>
      <c r="B620" s="2"/>
      <c r="C620" s="2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2"/>
      <c r="B621" s="2"/>
      <c r="C621" s="2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2"/>
      <c r="B622" s="2"/>
      <c r="C622" s="2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2"/>
      <c r="B623" s="2"/>
      <c r="C623" s="2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2"/>
      <c r="B624" s="2"/>
      <c r="C624" s="2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2"/>
      <c r="B625" s="2"/>
      <c r="C625" s="2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2"/>
      <c r="B626" s="2"/>
      <c r="C626" s="2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2"/>
      <c r="B627" s="2"/>
      <c r="C627" s="2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2"/>
      <c r="B628" s="2"/>
      <c r="C628" s="2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2"/>
      <c r="B629" s="2"/>
      <c r="C629" s="2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2"/>
      <c r="B630" s="2"/>
      <c r="C630" s="2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2"/>
      <c r="B631" s="2"/>
      <c r="C631" s="2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2"/>
      <c r="B632" s="2"/>
      <c r="C632" s="2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2"/>
      <c r="B633" s="2"/>
      <c r="C633" s="2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2"/>
      <c r="B634" s="2"/>
      <c r="C634" s="2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2"/>
      <c r="B635" s="2"/>
      <c r="C635" s="2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2"/>
      <c r="B636" s="2"/>
      <c r="C636" s="2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2"/>
      <c r="B637" s="2"/>
      <c r="C637" s="2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2"/>
      <c r="B638" s="2"/>
      <c r="C638" s="2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2"/>
      <c r="B639" s="2"/>
      <c r="C639" s="2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2"/>
      <c r="B640" s="2"/>
      <c r="C640" s="2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2"/>
      <c r="B641" s="2"/>
      <c r="C641" s="2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2"/>
      <c r="B642" s="2"/>
      <c r="C642" s="2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2"/>
      <c r="B643" s="2"/>
      <c r="C643" s="2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2"/>
      <c r="B644" s="2"/>
      <c r="C644" s="2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2"/>
      <c r="B645" s="2"/>
      <c r="C645" s="2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2"/>
      <c r="B646" s="2"/>
      <c r="C646" s="2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2"/>
      <c r="B647" s="2"/>
      <c r="C647" s="2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2"/>
      <c r="B648" s="2"/>
      <c r="C648" s="2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2"/>
      <c r="B649" s="2"/>
      <c r="C649" s="2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2"/>
      <c r="B650" s="2"/>
      <c r="C650" s="2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2"/>
      <c r="B651" s="2"/>
      <c r="C651" s="2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2"/>
      <c r="B652" s="2"/>
      <c r="C652" s="2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2"/>
      <c r="B653" s="2"/>
      <c r="C653" s="2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2"/>
      <c r="B654" s="2"/>
      <c r="C654" s="2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2"/>
      <c r="B655" s="2"/>
      <c r="C655" s="2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2"/>
      <c r="B656" s="2"/>
      <c r="C656" s="2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2"/>
      <c r="B657" s="2"/>
      <c r="C657" s="2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2"/>
      <c r="B658" s="2"/>
      <c r="C658" s="2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2"/>
      <c r="B659" s="2"/>
      <c r="C659" s="2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2"/>
      <c r="B660" s="2"/>
      <c r="C660" s="2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2"/>
      <c r="B661" s="2"/>
      <c r="C661" s="2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2"/>
      <c r="B662" s="2"/>
      <c r="C662" s="2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2"/>
      <c r="B663" s="2"/>
      <c r="C663" s="2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2"/>
      <c r="B664" s="2"/>
      <c r="C664" s="2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2"/>
      <c r="B665" s="2"/>
      <c r="C665" s="2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2"/>
      <c r="B666" s="2"/>
      <c r="C666" s="2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2"/>
      <c r="B667" s="2"/>
      <c r="C667" s="2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2"/>
      <c r="B668" s="2"/>
      <c r="C668" s="2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2"/>
      <c r="B669" s="2"/>
      <c r="C669" s="2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2"/>
      <c r="B670" s="2"/>
      <c r="C670" s="2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2"/>
      <c r="B671" s="2"/>
      <c r="C671" s="2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2"/>
      <c r="B672" s="2"/>
      <c r="C672" s="2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2"/>
      <c r="B673" s="2"/>
      <c r="C673" s="2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2"/>
      <c r="B674" s="2"/>
      <c r="C674" s="2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2"/>
      <c r="B675" s="2"/>
      <c r="C675" s="2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2"/>
      <c r="B676" s="2"/>
      <c r="C676" s="2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2"/>
      <c r="B677" s="2"/>
      <c r="C677" s="2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2"/>
      <c r="B678" s="2"/>
      <c r="C678" s="2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2"/>
      <c r="B679" s="2"/>
      <c r="C679" s="2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2"/>
      <c r="B680" s="2"/>
      <c r="C680" s="2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2"/>
      <c r="B681" s="2"/>
      <c r="C681" s="2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2"/>
      <c r="B682" s="2"/>
      <c r="C682" s="2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2"/>
      <c r="B683" s="2"/>
      <c r="C683" s="2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2"/>
      <c r="B684" s="2"/>
      <c r="C684" s="2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2"/>
      <c r="B685" s="2"/>
      <c r="C685" s="2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2"/>
      <c r="B686" s="2"/>
      <c r="C686" s="2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2"/>
      <c r="B687" s="2"/>
      <c r="C687" s="2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2"/>
      <c r="B688" s="2"/>
      <c r="C688" s="2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2"/>
      <c r="B689" s="2"/>
      <c r="C689" s="2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2"/>
      <c r="B690" s="2"/>
      <c r="C690" s="2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2"/>
      <c r="B691" s="2"/>
      <c r="C691" s="2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2"/>
      <c r="B692" s="2"/>
      <c r="C692" s="2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2"/>
      <c r="B693" s="2"/>
      <c r="C693" s="2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2"/>
      <c r="B694" s="2"/>
      <c r="C694" s="2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2"/>
      <c r="B695" s="2"/>
      <c r="C695" s="2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2"/>
      <c r="B696" s="2"/>
      <c r="C696" s="2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2"/>
      <c r="B697" s="2"/>
      <c r="C697" s="2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2"/>
      <c r="B698" s="2"/>
      <c r="C698" s="2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2"/>
      <c r="B699" s="2"/>
      <c r="C699" s="2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2"/>
      <c r="B700" s="2"/>
      <c r="C700" s="2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2"/>
      <c r="B701" s="2"/>
      <c r="C701" s="2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2"/>
      <c r="B702" s="2"/>
      <c r="C702" s="2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2"/>
      <c r="B703" s="2"/>
      <c r="C703" s="2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2"/>
      <c r="B704" s="2"/>
      <c r="C704" s="2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2"/>
      <c r="B705" s="2"/>
      <c r="C705" s="2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2"/>
      <c r="B706" s="2"/>
      <c r="C706" s="2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2"/>
      <c r="B707" s="2"/>
      <c r="C707" s="2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2"/>
      <c r="B708" s="2"/>
      <c r="C708" s="2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2"/>
      <c r="B709" s="2"/>
      <c r="C709" s="2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2"/>
      <c r="B710" s="2"/>
      <c r="C710" s="2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2"/>
      <c r="B711" s="2"/>
      <c r="C711" s="2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2"/>
      <c r="B712" s="2"/>
      <c r="C712" s="2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2"/>
      <c r="B713" s="2"/>
      <c r="C713" s="2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2"/>
      <c r="B714" s="2"/>
      <c r="C714" s="2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2"/>
      <c r="B715" s="2"/>
      <c r="C715" s="2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2"/>
      <c r="B716" s="2"/>
      <c r="C716" s="2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2"/>
      <c r="B717" s="2"/>
      <c r="C717" s="2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2"/>
      <c r="B718" s="2"/>
      <c r="C718" s="2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2"/>
      <c r="B719" s="2"/>
      <c r="C719" s="2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2"/>
      <c r="B720" s="2"/>
      <c r="C720" s="2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2"/>
      <c r="B721" s="2"/>
      <c r="C721" s="2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2"/>
      <c r="B722" s="2"/>
      <c r="C722" s="2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2"/>
      <c r="B723" s="2"/>
      <c r="C723" s="2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2"/>
      <c r="B724" s="2"/>
      <c r="C724" s="2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2"/>
      <c r="B725" s="2"/>
      <c r="C725" s="2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2"/>
      <c r="B726" s="2"/>
      <c r="C726" s="2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2"/>
      <c r="B727" s="2"/>
      <c r="C727" s="2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2"/>
      <c r="B728" s="2"/>
      <c r="C728" s="2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2"/>
      <c r="B729" s="2"/>
      <c r="C729" s="2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2"/>
      <c r="B730" s="2"/>
      <c r="C730" s="2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2"/>
      <c r="B731" s="2"/>
      <c r="C731" s="2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2"/>
      <c r="B732" s="2"/>
      <c r="C732" s="2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2"/>
      <c r="B733" s="2"/>
      <c r="C733" s="2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2"/>
      <c r="B734" s="2"/>
      <c r="C734" s="2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2"/>
      <c r="B735" s="2"/>
      <c r="C735" s="2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2"/>
      <c r="B736" s="2"/>
      <c r="C736" s="2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2"/>
      <c r="B737" s="2"/>
      <c r="C737" s="2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2"/>
      <c r="B738" s="2"/>
      <c r="C738" s="2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2"/>
      <c r="B739" s="2"/>
      <c r="C739" s="2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2"/>
      <c r="B740" s="2"/>
      <c r="C740" s="2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2"/>
      <c r="B741" s="2"/>
      <c r="C741" s="2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2"/>
      <c r="B742" s="2"/>
      <c r="C742" s="2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2"/>
      <c r="B743" s="2"/>
      <c r="C743" s="2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2"/>
      <c r="B744" s="2"/>
      <c r="C744" s="2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2"/>
      <c r="B745" s="2"/>
      <c r="C745" s="2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2"/>
      <c r="B746" s="2"/>
      <c r="C746" s="2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2"/>
      <c r="B747" s="2"/>
      <c r="C747" s="2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2"/>
      <c r="B748" s="2"/>
      <c r="C748" s="2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2"/>
      <c r="B749" s="2"/>
      <c r="C749" s="2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2"/>
      <c r="B750" s="2"/>
      <c r="C750" s="2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2"/>
      <c r="B751" s="2"/>
      <c r="C751" s="2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2"/>
      <c r="B752" s="2"/>
      <c r="C752" s="2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2"/>
      <c r="B753" s="2"/>
      <c r="C753" s="2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2"/>
      <c r="B754" s="2"/>
      <c r="C754" s="2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2"/>
      <c r="B755" s="2"/>
      <c r="C755" s="2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2"/>
      <c r="B756" s="2"/>
      <c r="C756" s="2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2"/>
      <c r="B757" s="2"/>
      <c r="C757" s="2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2"/>
      <c r="B758" s="2"/>
      <c r="C758" s="2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2"/>
      <c r="B759" s="2"/>
      <c r="C759" s="2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2"/>
      <c r="B760" s="2"/>
      <c r="C760" s="2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2"/>
      <c r="B761" s="2"/>
      <c r="C761" s="2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2"/>
      <c r="B762" s="2"/>
      <c r="C762" s="2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2"/>
      <c r="B763" s="2"/>
      <c r="C763" s="2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2"/>
      <c r="B764" s="2"/>
      <c r="C764" s="2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2"/>
      <c r="B765" s="2"/>
      <c r="C765" s="2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2"/>
      <c r="B766" s="2"/>
      <c r="C766" s="2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2"/>
      <c r="B767" s="2"/>
      <c r="C767" s="2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2"/>
      <c r="B768" s="2"/>
      <c r="C768" s="2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2"/>
      <c r="B769" s="2"/>
      <c r="C769" s="2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2"/>
      <c r="B770" s="2"/>
      <c r="C770" s="2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2"/>
      <c r="B771" s="2"/>
      <c r="C771" s="2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2"/>
      <c r="B772" s="2"/>
      <c r="C772" s="2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2"/>
      <c r="B773" s="2"/>
      <c r="C773" s="2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2"/>
      <c r="B774" s="2"/>
      <c r="C774" s="2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2"/>
      <c r="B775" s="2"/>
      <c r="C775" s="2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2"/>
      <c r="B776" s="2"/>
      <c r="C776" s="2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2"/>
      <c r="B777" s="2"/>
      <c r="C777" s="2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2"/>
      <c r="B778" s="2"/>
      <c r="C778" s="2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2"/>
      <c r="B779" s="2"/>
      <c r="C779" s="2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2"/>
      <c r="B780" s="2"/>
      <c r="C780" s="2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2"/>
      <c r="B781" s="2"/>
      <c r="C781" s="2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2"/>
      <c r="B782" s="2"/>
      <c r="C782" s="2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2"/>
      <c r="B783" s="2"/>
      <c r="C783" s="2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2"/>
      <c r="B784" s="2"/>
      <c r="C784" s="2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2"/>
      <c r="B785" s="2"/>
      <c r="C785" s="2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2"/>
      <c r="B786" s="2"/>
      <c r="C786" s="2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2"/>
      <c r="B787" s="2"/>
      <c r="C787" s="2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2"/>
      <c r="B788" s="2"/>
      <c r="C788" s="2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2"/>
      <c r="B789" s="2"/>
      <c r="C789" s="2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2"/>
      <c r="B790" s="2"/>
      <c r="C790" s="2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2"/>
      <c r="B791" s="2"/>
      <c r="C791" s="2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2"/>
      <c r="B792" s="2"/>
      <c r="C792" s="2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2"/>
      <c r="B793" s="2"/>
      <c r="C793" s="2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2"/>
      <c r="B794" s="2"/>
      <c r="C794" s="2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2"/>
      <c r="B795" s="2"/>
      <c r="C795" s="2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2"/>
      <c r="B796" s="2"/>
      <c r="C796" s="2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2"/>
      <c r="B797" s="2"/>
      <c r="C797" s="2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2"/>
      <c r="B798" s="2"/>
      <c r="C798" s="2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2"/>
      <c r="B799" s="2"/>
      <c r="C799" s="2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2"/>
      <c r="B800" s="2"/>
      <c r="C800" s="2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2"/>
      <c r="B801" s="2"/>
      <c r="C801" s="2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2"/>
      <c r="B802" s="2"/>
      <c r="C802" s="2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2"/>
      <c r="B803" s="2"/>
      <c r="C803" s="2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2"/>
      <c r="B804" s="2"/>
      <c r="C804" s="2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2"/>
      <c r="B805" s="2"/>
      <c r="C805" s="2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2"/>
      <c r="B806" s="2"/>
      <c r="C806" s="2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2"/>
      <c r="B807" s="2"/>
      <c r="C807" s="2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2"/>
      <c r="B808" s="2"/>
      <c r="C808" s="2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2"/>
      <c r="B809" s="2"/>
      <c r="C809" s="2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2"/>
      <c r="B810" s="2"/>
      <c r="C810" s="2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2"/>
      <c r="B811" s="2"/>
      <c r="C811" s="2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2"/>
      <c r="B812" s="2"/>
      <c r="C812" s="2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2"/>
      <c r="B813" s="2"/>
      <c r="C813" s="2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2"/>
      <c r="B814" s="2"/>
      <c r="C814" s="2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2"/>
      <c r="B815" s="2"/>
      <c r="C815" s="2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2"/>
      <c r="B816" s="2"/>
      <c r="C816" s="2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2"/>
      <c r="B817" s="2"/>
      <c r="C817" s="2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2"/>
      <c r="B818" s="2"/>
      <c r="C818" s="2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2"/>
      <c r="B819" s="2"/>
      <c r="C819" s="2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2"/>
      <c r="B820" s="2"/>
      <c r="C820" s="2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2"/>
      <c r="B821" s="2"/>
      <c r="C821" s="2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2"/>
      <c r="B822" s="2"/>
      <c r="C822" s="2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2"/>
      <c r="B823" s="2"/>
      <c r="C823" s="2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2"/>
      <c r="B824" s="2"/>
      <c r="C824" s="2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2"/>
      <c r="B825" s="2"/>
      <c r="C825" s="2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2"/>
      <c r="B826" s="2"/>
      <c r="C826" s="2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2"/>
      <c r="B827" s="2"/>
      <c r="C827" s="2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2"/>
      <c r="B828" s="2"/>
      <c r="C828" s="2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2"/>
      <c r="B829" s="2"/>
      <c r="C829" s="2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2"/>
      <c r="B830" s="2"/>
      <c r="C830" s="2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2"/>
      <c r="B831" s="2"/>
      <c r="C831" s="2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2"/>
      <c r="B832" s="2"/>
      <c r="C832" s="2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2"/>
      <c r="B833" s="2"/>
      <c r="C833" s="2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2"/>
      <c r="B834" s="2"/>
      <c r="C834" s="2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2"/>
      <c r="B835" s="2"/>
      <c r="C835" s="2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2"/>
      <c r="B836" s="2"/>
      <c r="C836" s="2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2"/>
      <c r="B837" s="2"/>
      <c r="C837" s="2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2"/>
      <c r="B838" s="2"/>
      <c r="C838" s="2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2"/>
      <c r="B839" s="2"/>
      <c r="C839" s="2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2"/>
      <c r="B840" s="2"/>
      <c r="C840" s="2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2"/>
      <c r="B841" s="2"/>
      <c r="C841" s="2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2"/>
      <c r="B842" s="2"/>
      <c r="C842" s="2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2"/>
      <c r="B843" s="2"/>
      <c r="C843" s="2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2"/>
      <c r="B844" s="2"/>
      <c r="C844" s="2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2"/>
      <c r="B845" s="2"/>
      <c r="C845" s="2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2"/>
      <c r="B846" s="2"/>
      <c r="C846" s="2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2"/>
      <c r="B847" s="2"/>
      <c r="C847" s="2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2"/>
      <c r="B848" s="2"/>
      <c r="C848" s="2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2"/>
      <c r="B849" s="2"/>
      <c r="C849" s="2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2"/>
      <c r="B850" s="2"/>
      <c r="C850" s="2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2"/>
      <c r="B851" s="2"/>
      <c r="C851" s="2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2"/>
      <c r="B852" s="2"/>
      <c r="C852" s="2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2"/>
      <c r="B853" s="2"/>
      <c r="C853" s="2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2"/>
      <c r="B854" s="2"/>
      <c r="C854" s="2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2"/>
      <c r="B855" s="2"/>
      <c r="C855" s="2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2"/>
      <c r="B856" s="2"/>
      <c r="C856" s="2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2"/>
      <c r="B857" s="2"/>
      <c r="C857" s="2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2"/>
      <c r="B858" s="2"/>
      <c r="C858" s="2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2"/>
      <c r="B859" s="2"/>
      <c r="C859" s="2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2"/>
      <c r="B860" s="2"/>
      <c r="C860" s="2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2"/>
      <c r="B861" s="2"/>
      <c r="C861" s="2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2"/>
      <c r="B862" s="2"/>
      <c r="C862" s="2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2"/>
      <c r="B863" s="2"/>
      <c r="C863" s="2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2"/>
      <c r="B864" s="2"/>
      <c r="C864" s="2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2"/>
      <c r="B865" s="2"/>
      <c r="C865" s="2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2"/>
      <c r="B866" s="2"/>
      <c r="C866" s="2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2"/>
      <c r="B867" s="2"/>
      <c r="C867" s="2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2"/>
      <c r="B868" s="2"/>
      <c r="C868" s="2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2"/>
      <c r="B869" s="2"/>
      <c r="C869" s="2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2"/>
      <c r="B870" s="2"/>
      <c r="C870" s="2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2"/>
      <c r="B871" s="2"/>
      <c r="C871" s="2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2"/>
      <c r="B872" s="2"/>
      <c r="C872" s="2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2"/>
      <c r="B873" s="2"/>
      <c r="C873" s="2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2"/>
      <c r="B874" s="2"/>
      <c r="C874" s="2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2"/>
      <c r="B875" s="2"/>
      <c r="C875" s="2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2"/>
      <c r="B876" s="2"/>
      <c r="C876" s="2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2"/>
      <c r="B877" s="2"/>
      <c r="C877" s="2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2"/>
      <c r="B878" s="2"/>
      <c r="C878" s="2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2"/>
      <c r="B879" s="2"/>
      <c r="C879" s="2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2"/>
      <c r="B880" s="2"/>
      <c r="C880" s="2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2"/>
      <c r="B881" s="2"/>
      <c r="C881" s="2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2"/>
      <c r="B882" s="2"/>
      <c r="C882" s="2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2"/>
      <c r="B883" s="2"/>
      <c r="C883" s="2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2"/>
      <c r="B884" s="2"/>
      <c r="C884" s="2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2"/>
      <c r="B885" s="2"/>
      <c r="C885" s="2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2"/>
      <c r="B886" s="2"/>
      <c r="C886" s="2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2"/>
      <c r="B887" s="2"/>
      <c r="C887" s="2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2"/>
      <c r="B888" s="2"/>
      <c r="C888" s="2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2"/>
      <c r="B889" s="2"/>
      <c r="C889" s="2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2"/>
      <c r="B890" s="2"/>
      <c r="C890" s="2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2"/>
      <c r="B891" s="2"/>
      <c r="C891" s="2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2"/>
      <c r="B892" s="2"/>
      <c r="C892" s="2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2"/>
      <c r="B893" s="2"/>
      <c r="C893" s="2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2"/>
      <c r="B894" s="2"/>
      <c r="C894" s="2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2"/>
      <c r="B895" s="2"/>
      <c r="C895" s="2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2"/>
      <c r="B896" s="2"/>
      <c r="C896" s="2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2"/>
      <c r="B897" s="2"/>
      <c r="C897" s="2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2"/>
      <c r="B898" s="2"/>
      <c r="C898" s="2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2"/>
      <c r="B899" s="2"/>
      <c r="C899" s="2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2"/>
      <c r="B900" s="2"/>
      <c r="C900" s="2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2"/>
      <c r="B901" s="2"/>
      <c r="C901" s="2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2"/>
      <c r="B902" s="2"/>
      <c r="C902" s="2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2"/>
      <c r="B903" s="2"/>
      <c r="C903" s="2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2"/>
      <c r="B904" s="2"/>
      <c r="C904" s="2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2"/>
      <c r="B905" s="2"/>
      <c r="C905" s="2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2"/>
      <c r="B906" s="2"/>
      <c r="C906" s="2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2"/>
      <c r="B907" s="2"/>
      <c r="C907" s="2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2"/>
      <c r="B908" s="2"/>
      <c r="C908" s="2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2"/>
      <c r="B909" s="2"/>
      <c r="C909" s="2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2"/>
      <c r="B910" s="2"/>
      <c r="C910" s="2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2"/>
      <c r="B911" s="2"/>
      <c r="C911" s="2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2"/>
      <c r="B912" s="2"/>
      <c r="C912" s="2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2"/>
      <c r="B913" s="2"/>
      <c r="C913" s="2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2"/>
      <c r="B914" s="2"/>
      <c r="C914" s="2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2"/>
      <c r="B915" s="2"/>
      <c r="C915" s="2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2"/>
      <c r="B916" s="2"/>
      <c r="C916" s="2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2"/>
      <c r="B917" s="2"/>
      <c r="C917" s="2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2"/>
      <c r="B918" s="2"/>
      <c r="C918" s="2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2"/>
      <c r="B919" s="2"/>
      <c r="C919" s="2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2"/>
      <c r="B920" s="2"/>
      <c r="C920" s="2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2"/>
      <c r="B921" s="2"/>
      <c r="C921" s="2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2"/>
      <c r="B922" s="2"/>
      <c r="C922" s="2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2"/>
      <c r="B923" s="2"/>
      <c r="C923" s="2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2"/>
      <c r="B924" s="2"/>
      <c r="C924" s="2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2"/>
      <c r="B925" s="2"/>
      <c r="C925" s="2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2"/>
      <c r="B926" s="2"/>
      <c r="C926" s="2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2"/>
      <c r="B927" s="2"/>
      <c r="C927" s="2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2"/>
      <c r="B928" s="2"/>
      <c r="C928" s="2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2"/>
      <c r="B929" s="2"/>
      <c r="C929" s="2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2"/>
      <c r="B930" s="2"/>
      <c r="C930" s="2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2"/>
      <c r="B931" s="2"/>
      <c r="C931" s="2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2"/>
      <c r="B932" s="2"/>
      <c r="C932" s="2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2"/>
      <c r="B933" s="2"/>
      <c r="C933" s="2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2"/>
      <c r="B934" s="2"/>
      <c r="C934" s="2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2"/>
      <c r="B935" s="2"/>
      <c r="C935" s="2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2"/>
      <c r="B936" s="2"/>
      <c r="C936" s="2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2"/>
      <c r="B937" s="2"/>
      <c r="C937" s="2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2"/>
      <c r="B938" s="2"/>
      <c r="C938" s="2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2"/>
      <c r="B939" s="2"/>
      <c r="C939" s="2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2"/>
      <c r="B940" s="2"/>
      <c r="C940" s="2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2"/>
      <c r="B941" s="2"/>
      <c r="C941" s="2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2"/>
      <c r="B942" s="2"/>
      <c r="C942" s="2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2"/>
      <c r="B943" s="2"/>
      <c r="C943" s="2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2"/>
      <c r="B944" s="2"/>
      <c r="C944" s="2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2"/>
      <c r="B945" s="2"/>
      <c r="C945" s="2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2"/>
      <c r="B946" s="2"/>
      <c r="C946" s="2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2"/>
      <c r="B947" s="2"/>
      <c r="C947" s="2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2"/>
      <c r="B948" s="2"/>
      <c r="C948" s="2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2"/>
      <c r="B949" s="2"/>
      <c r="C949" s="2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2"/>
      <c r="B950" s="2"/>
      <c r="C950" s="2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2"/>
      <c r="B951" s="2"/>
      <c r="C951" s="2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2"/>
      <c r="B952" s="2"/>
      <c r="C952" s="2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2"/>
      <c r="B953" s="2"/>
      <c r="C953" s="2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2"/>
      <c r="B954" s="2"/>
      <c r="C954" s="2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2"/>
      <c r="B955" s="2"/>
      <c r="C955" s="2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2"/>
      <c r="B956" s="2"/>
      <c r="C956" s="2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2"/>
      <c r="B957" s="2"/>
      <c r="C957" s="2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2"/>
      <c r="B958" s="2"/>
      <c r="C958" s="2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2"/>
      <c r="B959" s="2"/>
      <c r="C959" s="2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2"/>
      <c r="B960" s="2"/>
      <c r="C960" s="2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2"/>
      <c r="B961" s="2"/>
      <c r="C961" s="2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2"/>
      <c r="B962" s="2"/>
      <c r="C962" s="2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2"/>
      <c r="B963" s="2"/>
      <c r="C963" s="2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2"/>
      <c r="B964" s="2"/>
      <c r="C964" s="2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2"/>
      <c r="B965" s="2"/>
      <c r="C965" s="2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2"/>
      <c r="B966" s="2"/>
      <c r="C966" s="2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2"/>
      <c r="B967" s="2"/>
      <c r="C967" s="2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2"/>
      <c r="B968" s="2"/>
      <c r="C968" s="2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2"/>
      <c r="B969" s="2"/>
      <c r="C969" s="2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2"/>
      <c r="B970" s="2"/>
      <c r="C970" s="2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2"/>
      <c r="B971" s="2"/>
      <c r="C971" s="2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2"/>
      <c r="B972" s="2"/>
      <c r="C972" s="2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2"/>
      <c r="B973" s="2"/>
      <c r="C973" s="2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2"/>
      <c r="B974" s="2"/>
      <c r="C974" s="2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2"/>
      <c r="B975" s="2"/>
      <c r="C975" s="2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2"/>
      <c r="B976" s="2"/>
      <c r="C976" s="2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2"/>
      <c r="B977" s="2"/>
      <c r="C977" s="2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2"/>
      <c r="B978" s="2"/>
      <c r="C978" s="2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2"/>
      <c r="B979" s="2"/>
      <c r="C979" s="2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2"/>
      <c r="B980" s="2"/>
      <c r="C980" s="2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2"/>
      <c r="B981" s="2"/>
      <c r="C981" s="2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2"/>
      <c r="B982" s="2"/>
      <c r="C982" s="2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2"/>
      <c r="B983" s="2"/>
      <c r="C983" s="2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2"/>
      <c r="B984" s="2"/>
      <c r="C984" s="2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2"/>
      <c r="B985" s="2"/>
      <c r="C985" s="2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2"/>
      <c r="B986" s="2"/>
      <c r="C986" s="2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2"/>
      <c r="B987" s="2"/>
      <c r="C987" s="2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2"/>
      <c r="B988" s="2"/>
      <c r="C988" s="2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2"/>
      <c r="B989" s="2"/>
      <c r="C989" s="2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2"/>
      <c r="B990" s="2"/>
      <c r="C990" s="2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2"/>
      <c r="B991" s="2"/>
      <c r="C991" s="2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2"/>
      <c r="B992" s="2"/>
      <c r="C992" s="2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2"/>
      <c r="B993" s="2"/>
      <c r="C993" s="2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2"/>
      <c r="B994" s="2"/>
      <c r="C994" s="2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2"/>
      <c r="B995" s="2"/>
      <c r="C995" s="2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2"/>
      <c r="B996" s="2"/>
      <c r="C996" s="2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2"/>
      <c r="B997" s="2"/>
      <c r="C997" s="2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2"/>
      <c r="B998" s="2"/>
      <c r="C998" s="2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2"/>
      <c r="B999" s="2"/>
      <c r="C999" s="2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2"/>
      <c r="B1000" s="2"/>
      <c r="C1000" s="2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2"/>
      <c r="B1001" s="2"/>
      <c r="C1001" s="2"/>
      <c r="D1001" s="3"/>
      <c r="E1001" s="3"/>
      <c r="F1001" s="3"/>
      <c r="G1001" s="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2"/>
      <c r="B1002" s="2"/>
      <c r="C1002" s="2"/>
      <c r="D1002" s="3"/>
      <c r="E1002" s="3"/>
      <c r="F1002" s="3"/>
      <c r="G1002" s="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2"/>
      <c r="B1003" s="2"/>
      <c r="C1003" s="2"/>
      <c r="D1003" s="3"/>
      <c r="E1003" s="3"/>
      <c r="F1003" s="3"/>
      <c r="G1003" s="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2"/>
      <c r="B1004" s="2"/>
      <c r="C1004" s="2"/>
      <c r="D1004" s="3"/>
      <c r="E1004" s="3"/>
      <c r="F1004" s="3"/>
      <c r="G1004" s="4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2"/>
      <c r="B1005" s="2"/>
      <c r="C1005" s="2"/>
      <c r="D1005" s="3"/>
      <c r="E1005" s="3"/>
      <c r="F1005" s="3"/>
      <c r="G1005" s="4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>
      <c r="A1006" s="2"/>
      <c r="B1006" s="2"/>
      <c r="C1006" s="2"/>
      <c r="D1006" s="3"/>
      <c r="E1006" s="3"/>
      <c r="F1006" s="3"/>
      <c r="G1006" s="4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>
      <c r="A1007" s="2"/>
      <c r="B1007" s="2"/>
      <c r="C1007" s="2"/>
      <c r="D1007" s="3"/>
      <c r="E1007" s="3"/>
      <c r="F1007" s="3"/>
      <c r="G1007" s="4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</sheetData>
  <mergeCells count="14">
    <mergeCell ref="J1:K1"/>
    <mergeCell ref="J2:K3"/>
    <mergeCell ref="L2:L3"/>
    <mergeCell ref="O2:P3"/>
    <mergeCell ref="J4:L4"/>
    <mergeCell ref="O4:P5"/>
    <mergeCell ref="J16:L17"/>
    <mergeCell ref="J18:L19"/>
    <mergeCell ref="O6:P7"/>
    <mergeCell ref="J8:L9"/>
    <mergeCell ref="O8:P9"/>
    <mergeCell ref="J10:L11"/>
    <mergeCell ref="J12:L13"/>
    <mergeCell ref="J14:L15"/>
  </mergeCells>
  <conditionalFormatting sqref="G2:G32">
    <cfRule type="colorScale" priority="1">
      <colorScale>
        <cfvo type="formula" val="0"/>
        <cfvo type="formula" val="0"/>
        <color rgb="FFFF0000"/>
        <color rgb="FF00B05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E646-6BAA-4B59-9E42-1D62C8E25D4D}">
  <dimension ref="A1:Z998"/>
  <sheetViews>
    <sheetView showGridLines="0" zoomScale="80" zoomScaleNormal="60" workbookViewId="0">
      <selection activeCell="F27" sqref="F27"/>
    </sheetView>
  </sheetViews>
  <sheetFormatPr baseColWidth="10" defaultColWidth="14" defaultRowHeight="15"/>
  <cols>
    <col min="1" max="1" width="8.1640625" bestFit="1" customWidth="1"/>
    <col min="2" max="2" width="6.6640625" customWidth="1"/>
    <col min="3" max="3" width="7.5" customWidth="1"/>
    <col min="4" max="4" width="16.6640625" bestFit="1" customWidth="1"/>
    <col min="5" max="5" width="16.1640625" customWidth="1"/>
    <col min="6" max="6" width="19.33203125" customWidth="1"/>
    <col min="7" max="9" width="13.83203125" customWidth="1"/>
    <col min="10" max="10" width="7.83203125" customWidth="1"/>
    <col min="11" max="11" width="15.1640625" customWidth="1"/>
    <col min="12" max="12" width="17.1640625" bestFit="1" customWidth="1"/>
    <col min="13" max="13" width="13.83203125" bestFit="1" customWidth="1"/>
    <col min="14" max="14" width="9.1640625" bestFit="1" customWidth="1"/>
    <col min="15" max="15" width="11.6640625" customWidth="1"/>
    <col min="16" max="16" width="15" customWidth="1"/>
    <col min="17" max="17" width="8.83203125" customWidth="1"/>
    <col min="18" max="26" width="8.5" customWidth="1"/>
  </cols>
  <sheetData>
    <row r="1" spans="1:26" ht="30.5" customHeight="1" thickBot="1">
      <c r="A1" s="19" t="s">
        <v>0</v>
      </c>
      <c r="B1" s="20" t="s">
        <v>1</v>
      </c>
      <c r="C1" s="21" t="s">
        <v>2</v>
      </c>
      <c r="D1" s="22" t="s">
        <v>13</v>
      </c>
      <c r="E1" s="23" t="s">
        <v>12</v>
      </c>
      <c r="F1" s="24" t="s">
        <v>15</v>
      </c>
      <c r="G1" s="25" t="s">
        <v>16</v>
      </c>
      <c r="H1" s="26" t="s">
        <v>3</v>
      </c>
      <c r="I1" s="34" t="s">
        <v>4</v>
      </c>
      <c r="J1" s="307" t="s">
        <v>17</v>
      </c>
      <c r="K1" s="308"/>
      <c r="L1" s="33" t="s"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2.75" customHeight="1" thickBot="1">
      <c r="A2" s="32">
        <v>45695</v>
      </c>
      <c r="B2" s="12" t="s">
        <v>10</v>
      </c>
      <c r="C2" s="13"/>
      <c r="D2" s="70">
        <v>3950</v>
      </c>
      <c r="E2" s="17">
        <f t="shared" ref="E2:E21" si="0">F2-D2</f>
        <v>14.429999999999836</v>
      </c>
      <c r="F2" s="28">
        <v>3964.43</v>
      </c>
      <c r="G2" s="82">
        <f t="shared" ref="G2:G21" si="1">E2/D2</f>
        <v>3.6531645569619839E-3</v>
      </c>
      <c r="H2" s="5">
        <f>D2*L2</f>
        <v>475.18499999999995</v>
      </c>
      <c r="I2" s="7">
        <f>D2*J2</f>
        <v>158</v>
      </c>
      <c r="J2" s="309">
        <v>0.04</v>
      </c>
      <c r="K2" s="310"/>
      <c r="L2" s="331">
        <f>K8</f>
        <v>0.12029999999999999</v>
      </c>
      <c r="M2" s="3"/>
      <c r="N2" s="3"/>
      <c r="O2" s="315"/>
      <c r="P2" s="306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2.75" customHeight="1" thickBot="1">
      <c r="A3" s="32">
        <v>45696</v>
      </c>
      <c r="B3" s="12" t="s">
        <v>10</v>
      </c>
      <c r="C3" s="13"/>
      <c r="D3" s="18">
        <f>F2</f>
        <v>3964.43</v>
      </c>
      <c r="E3" s="17">
        <f t="shared" si="0"/>
        <v>175.44000000000005</v>
      </c>
      <c r="F3" s="28">
        <v>4139.87</v>
      </c>
      <c r="G3" s="82">
        <f t="shared" si="1"/>
        <v>4.4253524466316738E-2</v>
      </c>
      <c r="H3" s="5">
        <f>D3*L2</f>
        <v>476.92092899999994</v>
      </c>
      <c r="I3" s="7">
        <f>D3*J2</f>
        <v>158.5772</v>
      </c>
      <c r="J3" s="311"/>
      <c r="K3" s="312"/>
      <c r="L3" s="332"/>
      <c r="M3" s="3"/>
      <c r="N3" s="3"/>
      <c r="O3" s="306"/>
      <c r="P3" s="306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.75" customHeight="1" thickBot="1">
      <c r="A4" s="32">
        <v>45697</v>
      </c>
      <c r="B4" s="12"/>
      <c r="C4" s="13" t="s">
        <v>9</v>
      </c>
      <c r="D4" s="18">
        <f>F3</f>
        <v>4139.87</v>
      </c>
      <c r="E4" s="17">
        <f t="shared" si="0"/>
        <v>-378</v>
      </c>
      <c r="F4" s="28">
        <v>3761.87</v>
      </c>
      <c r="G4" s="82">
        <f t="shared" si="1"/>
        <v>-9.1307214960856267E-2</v>
      </c>
      <c r="H4" s="5">
        <f>D4*L2</f>
        <v>498.02636099999995</v>
      </c>
      <c r="I4" s="7">
        <f>D4*J2</f>
        <v>165.59479999999999</v>
      </c>
      <c r="J4" s="316" t="s">
        <v>11</v>
      </c>
      <c r="K4" s="317"/>
      <c r="L4" s="317"/>
      <c r="M4" s="72" t="s">
        <v>12</v>
      </c>
      <c r="N4" s="72" t="s">
        <v>27</v>
      </c>
      <c r="O4" s="305"/>
      <c r="P4" s="306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2.75" customHeight="1" thickBot="1">
      <c r="A5" s="32">
        <v>45698</v>
      </c>
      <c r="B5" s="12" t="s">
        <v>10</v>
      </c>
      <c r="C5" s="13"/>
      <c r="D5" s="18">
        <f t="shared" ref="D5:D23" si="2">F4</f>
        <v>3761.87</v>
      </c>
      <c r="E5" s="17">
        <f t="shared" si="0"/>
        <v>59.840000000000146</v>
      </c>
      <c r="F5" s="28">
        <v>3821.71</v>
      </c>
      <c r="G5" s="82">
        <f t="shared" si="1"/>
        <v>1.5906982431609849E-2</v>
      </c>
      <c r="H5" s="5">
        <f>D5*L2</f>
        <v>452.55296099999993</v>
      </c>
      <c r="I5" s="7">
        <f>D5*J2</f>
        <v>150.47479999999999</v>
      </c>
      <c r="J5" s="37">
        <v>1</v>
      </c>
      <c r="K5" s="77">
        <v>1.55E-2</v>
      </c>
      <c r="L5" s="38">
        <f>D22*0.0155</f>
        <v>59.730025000000005</v>
      </c>
      <c r="M5" s="75">
        <f>L5*0.87</f>
        <v>51.965121750000002</v>
      </c>
      <c r="N5" s="76">
        <f>I22/M5</f>
        <v>2.9662588060808308</v>
      </c>
      <c r="O5" s="306"/>
      <c r="P5" s="306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2.75" customHeight="1" thickBot="1">
      <c r="A6" s="32">
        <v>45699</v>
      </c>
      <c r="B6" s="12" t="s">
        <v>10</v>
      </c>
      <c r="C6" s="13"/>
      <c r="D6" s="18">
        <f t="shared" si="2"/>
        <v>3821.71</v>
      </c>
      <c r="E6" s="17">
        <f t="shared" si="0"/>
        <v>113.71000000000004</v>
      </c>
      <c r="F6" s="28">
        <v>3935.42</v>
      </c>
      <c r="G6" s="81">
        <f t="shared" si="1"/>
        <v>2.9753696643649057E-2</v>
      </c>
      <c r="H6" s="5">
        <f>D6*L2</f>
        <v>459.751713</v>
      </c>
      <c r="I6" s="46">
        <f>D6*J2</f>
        <v>152.86840000000001</v>
      </c>
      <c r="J6" s="37" t="s">
        <v>20</v>
      </c>
      <c r="K6" s="77">
        <v>3.3300000000000003E-2</v>
      </c>
      <c r="L6" s="38">
        <f>D22*0.0333</f>
        <v>128.323215</v>
      </c>
      <c r="M6" s="75">
        <f>L6*0.87</f>
        <v>111.64119705</v>
      </c>
      <c r="N6" s="76">
        <f>I22/(M6-L5)</f>
        <v>2.9693415485116184</v>
      </c>
      <c r="O6" s="315"/>
      <c r="P6" s="306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2.75" customHeight="1" thickBot="1">
      <c r="A7" s="32">
        <v>45700</v>
      </c>
      <c r="B7" s="12"/>
      <c r="C7" s="13" t="s">
        <v>9</v>
      </c>
      <c r="D7" s="18">
        <f t="shared" si="2"/>
        <v>3935.42</v>
      </c>
      <c r="E7" s="17">
        <f t="shared" si="0"/>
        <v>-179</v>
      </c>
      <c r="F7" s="28">
        <v>3756.42</v>
      </c>
      <c r="G7" s="81">
        <f t="shared" si="1"/>
        <v>-4.5484344745922924E-2</v>
      </c>
      <c r="H7" s="5">
        <f>D7*L2</f>
        <v>473.43102599999997</v>
      </c>
      <c r="I7" s="48">
        <f>D7*J2</f>
        <v>157.41679999999999</v>
      </c>
      <c r="J7" s="73" t="s">
        <v>26</v>
      </c>
      <c r="K7" s="78">
        <v>7.1499999999999994E-2</v>
      </c>
      <c r="L7" s="38">
        <f>D22*0.0715</f>
        <v>275.52882499999998</v>
      </c>
      <c r="M7" s="75">
        <f>L7*0.87</f>
        <v>239.71007774999998</v>
      </c>
      <c r="N7" s="76">
        <f>I22/(M7-L6-L5)</f>
        <v>2.9839612085042915</v>
      </c>
      <c r="O7" s="306"/>
      <c r="P7" s="306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2.75" customHeight="1" thickBot="1">
      <c r="A8" s="80">
        <v>45701</v>
      </c>
      <c r="B8" s="12" t="s">
        <v>10</v>
      </c>
      <c r="C8" s="13"/>
      <c r="D8" s="18">
        <f t="shared" si="2"/>
        <v>3756.42</v>
      </c>
      <c r="E8" s="17">
        <f t="shared" si="0"/>
        <v>100.4699999999998</v>
      </c>
      <c r="F8" s="28">
        <v>3856.89</v>
      </c>
      <c r="G8" s="81">
        <f t="shared" si="1"/>
        <v>2.6746210487645097E-2</v>
      </c>
      <c r="H8" s="5">
        <f>D8*L2</f>
        <v>451.89732599999996</v>
      </c>
      <c r="I8" s="47">
        <f>D8*J2</f>
        <v>150.2568</v>
      </c>
      <c r="J8" s="73"/>
      <c r="K8" s="78">
        <f>SUM(K5:K7)</f>
        <v>0.12029999999999999</v>
      </c>
      <c r="L8" s="74">
        <f>SUM(L5:L7)</f>
        <v>463.582065</v>
      </c>
      <c r="N8" s="1"/>
      <c r="O8" s="305"/>
      <c r="P8" s="306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2.75" customHeight="1" thickBot="1">
      <c r="A9" s="32">
        <v>45702</v>
      </c>
      <c r="B9" s="12" t="s">
        <v>10</v>
      </c>
      <c r="C9" s="13"/>
      <c r="D9" s="18">
        <f>F8</f>
        <v>3856.89</v>
      </c>
      <c r="E9" s="17">
        <f t="shared" si="0"/>
        <v>53.25</v>
      </c>
      <c r="F9" s="28">
        <v>3910.14</v>
      </c>
      <c r="G9" s="31">
        <f t="shared" si="1"/>
        <v>1.3806460645753445E-2</v>
      </c>
      <c r="H9" s="5">
        <f>D9*L2</f>
        <v>463.98386699999998</v>
      </c>
      <c r="I9" s="7">
        <f>D9*J2</f>
        <v>154.2756</v>
      </c>
      <c r="J9" s="333" t="s">
        <v>4</v>
      </c>
      <c r="K9" s="334"/>
      <c r="L9" s="335"/>
      <c r="N9" s="1"/>
      <c r="O9" s="306"/>
      <c r="P9" s="306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2.75" customHeight="1" thickBot="1">
      <c r="A10" s="32">
        <v>45703</v>
      </c>
      <c r="B10" s="10"/>
      <c r="C10" s="65"/>
      <c r="D10" s="18">
        <f>F9</f>
        <v>3910.14</v>
      </c>
      <c r="E10" s="17">
        <f t="shared" si="0"/>
        <v>0</v>
      </c>
      <c r="F10" s="28">
        <v>3910.14</v>
      </c>
      <c r="G10" s="31">
        <f t="shared" si="1"/>
        <v>0</v>
      </c>
      <c r="H10" s="5">
        <f>D10*L2</f>
        <v>470.38984199999993</v>
      </c>
      <c r="I10" s="7">
        <f>D10*J2</f>
        <v>156.40559999999999</v>
      </c>
      <c r="J10" s="321">
        <v>500</v>
      </c>
      <c r="K10" s="322"/>
      <c r="L10" s="322"/>
      <c r="M10" s="1"/>
      <c r="N10" s="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2.75" customHeight="1" thickBot="1">
      <c r="A11" s="32">
        <v>45704</v>
      </c>
      <c r="B11" s="10"/>
      <c r="C11" s="65"/>
      <c r="D11" s="18">
        <f t="shared" si="2"/>
        <v>3910.14</v>
      </c>
      <c r="E11" s="17">
        <f t="shared" si="0"/>
        <v>0</v>
      </c>
      <c r="F11" s="28">
        <v>3910.14</v>
      </c>
      <c r="G11" s="31">
        <f t="shared" si="1"/>
        <v>0</v>
      </c>
      <c r="H11" s="5">
        <f>D11*L2</f>
        <v>470.38984199999993</v>
      </c>
      <c r="I11" s="7">
        <f>D11*J2</f>
        <v>156.40559999999999</v>
      </c>
      <c r="J11" s="322"/>
      <c r="K11" s="322"/>
      <c r="L11" s="322"/>
      <c r="M11" s="1"/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2.75" customHeight="1" thickBot="1">
      <c r="A12" s="32">
        <v>45705</v>
      </c>
      <c r="B12" s="12" t="s">
        <v>10</v>
      </c>
      <c r="C12" s="13"/>
      <c r="D12" s="18">
        <f t="shared" si="2"/>
        <v>3910.14</v>
      </c>
      <c r="E12" s="17">
        <f t="shared" si="0"/>
        <v>53.099999999999909</v>
      </c>
      <c r="F12" s="28">
        <v>3963.24</v>
      </c>
      <c r="G12" s="31">
        <f t="shared" si="1"/>
        <v>1.358007641670117E-2</v>
      </c>
      <c r="H12" s="5">
        <f>D12*L2</f>
        <v>470.38984199999993</v>
      </c>
      <c r="I12" s="7">
        <f>D12*J2</f>
        <v>156.40559999999999</v>
      </c>
      <c r="J12" s="318" t="s">
        <v>6</v>
      </c>
      <c r="K12" s="323"/>
      <c r="L12" s="323"/>
      <c r="M12" s="1"/>
      <c r="N12" s="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2.75" customHeight="1" thickBot="1">
      <c r="A13" s="32">
        <v>45706</v>
      </c>
      <c r="B13" s="12" t="s">
        <v>10</v>
      </c>
      <c r="C13" s="13"/>
      <c r="D13" s="18">
        <f t="shared" si="2"/>
        <v>3963.24</v>
      </c>
      <c r="E13" s="17">
        <f t="shared" si="0"/>
        <v>53.070000000000164</v>
      </c>
      <c r="F13" s="28">
        <v>4016.31</v>
      </c>
      <c r="G13" s="31">
        <f t="shared" si="1"/>
        <v>1.3390559239410222E-2</v>
      </c>
      <c r="H13" s="5">
        <f>D13*L2</f>
        <v>476.77777199999991</v>
      </c>
      <c r="I13" s="7">
        <f>D13*J2</f>
        <v>158.52959999999999</v>
      </c>
      <c r="J13" s="323"/>
      <c r="K13" s="323"/>
      <c r="L13" s="323"/>
      <c r="M13" s="1"/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2.75" customHeight="1" thickBot="1">
      <c r="A14" s="32">
        <v>45707</v>
      </c>
      <c r="B14" s="12" t="s">
        <v>10</v>
      </c>
      <c r="C14" s="13"/>
      <c r="D14" s="18">
        <f t="shared" si="2"/>
        <v>4016.31</v>
      </c>
      <c r="E14" s="17">
        <f t="shared" si="0"/>
        <v>163.09999999999991</v>
      </c>
      <c r="F14" s="28">
        <v>4179.41</v>
      </c>
      <c r="G14" s="31">
        <f t="shared" si="1"/>
        <v>4.0609415109889406E-2</v>
      </c>
      <c r="H14" s="5">
        <f>D14*L2</f>
        <v>483.16209299999997</v>
      </c>
      <c r="I14" s="7">
        <f>D14*J2</f>
        <v>160.6524</v>
      </c>
      <c r="J14" s="324">
        <f>SUM(E2:E23)</f>
        <v>-96.449999999999818</v>
      </c>
      <c r="K14" s="325"/>
      <c r="L14" s="325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2.75" customHeight="1" thickBot="1">
      <c r="A15" s="32">
        <v>45708</v>
      </c>
      <c r="B15" s="10"/>
      <c r="C15" s="65"/>
      <c r="D15" s="18">
        <f t="shared" si="2"/>
        <v>4179.41</v>
      </c>
      <c r="E15" s="17">
        <f t="shared" si="0"/>
        <v>0</v>
      </c>
      <c r="F15" s="28">
        <v>4179.41</v>
      </c>
      <c r="G15" s="31">
        <f t="shared" si="1"/>
        <v>0</v>
      </c>
      <c r="H15" s="5">
        <f>D15*L2</f>
        <v>502.78302299999996</v>
      </c>
      <c r="I15" s="7">
        <f>D15*J2</f>
        <v>167.1764</v>
      </c>
      <c r="J15" s="326"/>
      <c r="K15" s="326"/>
      <c r="L15" s="326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75" customHeight="1" thickBot="1">
      <c r="A16" s="32">
        <v>45709</v>
      </c>
      <c r="B16" s="12" t="s">
        <v>10</v>
      </c>
      <c r="C16" s="13"/>
      <c r="D16" s="18">
        <f t="shared" si="2"/>
        <v>4179.41</v>
      </c>
      <c r="E16" s="17">
        <f t="shared" si="0"/>
        <v>168.77999999999975</v>
      </c>
      <c r="F16" s="28">
        <v>4348.1899999999996</v>
      </c>
      <c r="G16" s="31">
        <f t="shared" si="1"/>
        <v>4.0383690520910787E-2</v>
      </c>
      <c r="H16" s="5">
        <f>D16*L2</f>
        <v>502.78302299999996</v>
      </c>
      <c r="I16" s="7">
        <f>D16*J2</f>
        <v>167.1764</v>
      </c>
      <c r="J16" s="303"/>
      <c r="K16" s="304"/>
      <c r="L16" s="304"/>
      <c r="M16" s="1"/>
      <c r="N16" s="1"/>
      <c r="O16" s="3"/>
      <c r="P16" s="27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2.75" customHeight="1" thickBot="1">
      <c r="A17" s="32">
        <v>45710</v>
      </c>
      <c r="B17" s="12"/>
      <c r="C17" s="13" t="s">
        <v>9</v>
      </c>
      <c r="D17" s="18">
        <f t="shared" si="2"/>
        <v>4348.1899999999996</v>
      </c>
      <c r="E17" s="17">
        <f t="shared" si="0"/>
        <v>-405.41999999999962</v>
      </c>
      <c r="F17" s="28">
        <v>3942.77</v>
      </c>
      <c r="G17" s="31">
        <f t="shared" si="1"/>
        <v>-9.3238795912782016E-2</v>
      </c>
      <c r="H17" s="5">
        <f>D17*L2</f>
        <v>523.08725699999991</v>
      </c>
      <c r="I17" s="7">
        <f>D17*J2</f>
        <v>173.92759999999998</v>
      </c>
      <c r="J17" s="303"/>
      <c r="K17" s="304"/>
      <c r="L17" s="304"/>
      <c r="M17" s="1"/>
      <c r="N17" s="1"/>
      <c r="O17" s="3"/>
      <c r="P17" s="27"/>
      <c r="Q17" s="3"/>
      <c r="R17" s="3"/>
      <c r="S17" s="3"/>
      <c r="T17" s="3"/>
      <c r="U17" s="3"/>
      <c r="V17" s="3"/>
      <c r="W17" s="3"/>
      <c r="X17" s="3"/>
      <c r="Y17" s="3"/>
      <c r="Z17" s="9"/>
    </row>
    <row r="18" spans="1:26" ht="22.75" customHeight="1" thickBot="1">
      <c r="A18" s="83">
        <v>45711</v>
      </c>
      <c r="B18" s="12" t="s">
        <v>10</v>
      </c>
      <c r="C18" s="13"/>
      <c r="D18" s="18">
        <f t="shared" si="2"/>
        <v>3942.77</v>
      </c>
      <c r="E18" s="17">
        <f t="shared" si="0"/>
        <v>157.45999999999958</v>
      </c>
      <c r="F18" s="28">
        <v>4100.2299999999996</v>
      </c>
      <c r="G18" s="31">
        <f t="shared" si="1"/>
        <v>3.9936389898472285E-2</v>
      </c>
      <c r="H18" s="5">
        <f>D18*L2</f>
        <v>474.31523099999998</v>
      </c>
      <c r="I18" s="8">
        <f>D18*J2</f>
        <v>157.71080000000001</v>
      </c>
      <c r="J18" s="303"/>
      <c r="K18" s="304"/>
      <c r="L18" s="304"/>
      <c r="M18" s="1"/>
      <c r="N18" s="1"/>
      <c r="O18" s="3"/>
      <c r="P18" s="3"/>
      <c r="Q18" s="3" t="s">
        <v>7</v>
      </c>
      <c r="R18" s="3"/>
      <c r="S18" s="3"/>
      <c r="T18" s="3"/>
      <c r="U18" s="3"/>
      <c r="V18" s="3"/>
      <c r="W18" s="3"/>
      <c r="Y18" s="3"/>
      <c r="Z18" s="3"/>
    </row>
    <row r="19" spans="1:26" ht="22.75" customHeight="1" thickBot="1">
      <c r="A19" s="32">
        <v>45712</v>
      </c>
      <c r="B19" s="12" t="s">
        <v>10</v>
      </c>
      <c r="C19" s="13"/>
      <c r="D19" s="18">
        <f t="shared" si="2"/>
        <v>4100.2299999999996</v>
      </c>
      <c r="E19" s="17">
        <f t="shared" si="0"/>
        <v>110.13000000000011</v>
      </c>
      <c r="F19" s="28">
        <v>4210.3599999999997</v>
      </c>
      <c r="G19" s="31">
        <f t="shared" si="1"/>
        <v>2.6859468859064033E-2</v>
      </c>
      <c r="H19" s="5">
        <f>D19*L2</f>
        <v>493.25766899999991</v>
      </c>
      <c r="I19" s="8">
        <f>D19*J2</f>
        <v>164.00919999999999</v>
      </c>
      <c r="J19" s="303"/>
      <c r="K19" s="304"/>
      <c r="L19" s="304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2.75" customHeight="1" thickBot="1">
      <c r="A20" s="32">
        <v>45713</v>
      </c>
      <c r="B20" s="12"/>
      <c r="C20" s="13" t="s">
        <v>9</v>
      </c>
      <c r="D20" s="18">
        <f t="shared" si="2"/>
        <v>4210.3599999999997</v>
      </c>
      <c r="E20" s="17">
        <f t="shared" si="0"/>
        <v>-505.99999999999955</v>
      </c>
      <c r="F20" s="28">
        <v>3704.36</v>
      </c>
      <c r="G20" s="31">
        <f t="shared" si="1"/>
        <v>-0.12017974710001035</v>
      </c>
      <c r="H20" s="5">
        <f>D20*L2</f>
        <v>506.50630799999993</v>
      </c>
      <c r="I20" s="8">
        <f>D20*J2</f>
        <v>168.4144</v>
      </c>
      <c r="J20" s="1"/>
      <c r="K20" s="35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2.75" customHeight="1" thickBot="1">
      <c r="A21" s="32">
        <v>45714</v>
      </c>
      <c r="B21" s="12"/>
      <c r="C21" s="13"/>
      <c r="D21" s="18">
        <f t="shared" si="2"/>
        <v>3704.36</v>
      </c>
      <c r="E21" s="17">
        <f t="shared" si="0"/>
        <v>149.19000000000005</v>
      </c>
      <c r="F21" s="28">
        <v>3853.55</v>
      </c>
      <c r="G21" s="31">
        <f t="shared" si="1"/>
        <v>4.0274163418242304E-2</v>
      </c>
      <c r="H21" s="5">
        <f>D21*L2</f>
        <v>445.63450799999998</v>
      </c>
      <c r="I21" s="8">
        <f>D21*J2</f>
        <v>148.17440000000002</v>
      </c>
      <c r="J21" s="1"/>
      <c r="K21" s="1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75" customHeight="1" thickBot="1">
      <c r="A22" s="32">
        <v>45715</v>
      </c>
      <c r="B22" s="12"/>
      <c r="C22" s="13"/>
      <c r="D22" s="18">
        <f t="shared" si="2"/>
        <v>3853.55</v>
      </c>
      <c r="E22" s="17"/>
      <c r="F22" s="28"/>
      <c r="G22" s="31"/>
      <c r="H22" s="5">
        <f>D22*L2</f>
        <v>463.582065</v>
      </c>
      <c r="I22" s="8">
        <f>D22*J2</f>
        <v>154.14200000000002</v>
      </c>
      <c r="J22" s="1"/>
      <c r="K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75" customHeight="1" thickBot="1">
      <c r="A23" s="32">
        <v>45716</v>
      </c>
      <c r="B23" s="12"/>
      <c r="C23" s="13"/>
      <c r="D23" s="18">
        <f t="shared" si="2"/>
        <v>0</v>
      </c>
      <c r="E23" s="17"/>
      <c r="F23" s="28"/>
      <c r="G23" s="31"/>
      <c r="H23" s="5">
        <f>D23*L2</f>
        <v>0</v>
      </c>
      <c r="I23" s="8">
        <f>D23*J2</f>
        <v>0</v>
      </c>
      <c r="J23" s="1"/>
      <c r="K23" s="1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2.75" customHeight="1" thickBot="1">
      <c r="A24" s="79" t="s">
        <v>23</v>
      </c>
      <c r="B24" s="15">
        <f>COUNTA(B2:B23)</f>
        <v>12</v>
      </c>
      <c r="C24" s="16">
        <f>COUNTA(C2:C23)</f>
        <v>4</v>
      </c>
      <c r="D24" s="6"/>
      <c r="E24" s="6"/>
      <c r="F24" s="41" t="s">
        <v>19</v>
      </c>
      <c r="G24" s="42">
        <f>SUM(G3:G23)/SUM(B24,C24)</f>
        <v>-2.9434153636919824E-4</v>
      </c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2"/>
      <c r="B25" s="2"/>
      <c r="C25" s="2"/>
      <c r="D25" s="3"/>
      <c r="E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84"/>
      <c r="B26" s="86" t="s">
        <v>28</v>
      </c>
      <c r="C26" s="2"/>
      <c r="D26" s="3"/>
      <c r="E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85"/>
      <c r="B27" s="86" t="s">
        <v>29</v>
      </c>
      <c r="C27" s="2"/>
      <c r="D27" s="3"/>
      <c r="E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2"/>
      <c r="B28" s="2"/>
      <c r="C28" s="2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2"/>
      <c r="B29" s="2"/>
      <c r="C29" s="2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2"/>
      <c r="B30" s="2"/>
      <c r="C30" s="2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2"/>
      <c r="B31" s="2"/>
      <c r="C31" s="2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2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>
      <c r="A35" s="2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2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2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2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2"/>
      <c r="B41" s="2"/>
      <c r="C41" s="2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2"/>
      <c r="B42" s="2"/>
      <c r="C42" s="2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2"/>
      <c r="B43" s="2"/>
      <c r="C43" s="2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2"/>
      <c r="B44" s="2"/>
      <c r="C44" s="2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2"/>
      <c r="B45" s="2"/>
      <c r="C45" s="2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2"/>
      <c r="B46" s="2"/>
      <c r="C46" s="2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2"/>
      <c r="B47" s="2"/>
      <c r="C47" s="2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2"/>
      <c r="B48" s="2"/>
      <c r="C48" s="2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2"/>
      <c r="B49" s="2"/>
      <c r="C49" s="2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2"/>
      <c r="B50" s="2"/>
      <c r="C50" s="2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2"/>
      <c r="B51" s="2"/>
      <c r="C51" s="2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2"/>
      <c r="B52" s="2"/>
      <c r="C52" s="2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2"/>
      <c r="B53" s="2"/>
      <c r="C53" s="2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2"/>
      <c r="B54" s="2"/>
      <c r="C54" s="2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2"/>
      <c r="B55" s="2"/>
      <c r="C55" s="2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2"/>
      <c r="B56" s="2"/>
      <c r="C56" s="2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2"/>
      <c r="B57" s="2"/>
      <c r="C57" s="2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2"/>
      <c r="B58" s="2"/>
      <c r="C58" s="2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2"/>
      <c r="B59" s="2"/>
      <c r="C59" s="2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2"/>
      <c r="B60" s="2"/>
      <c r="C60" s="2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2"/>
      <c r="B61" s="2"/>
      <c r="C61" s="2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2"/>
      <c r="B62" s="2"/>
      <c r="C62" s="2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2"/>
      <c r="B63" s="2"/>
      <c r="C63" s="2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2"/>
      <c r="B64" s="2"/>
      <c r="C64" s="2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2"/>
      <c r="B65" s="2"/>
      <c r="C65" s="2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2"/>
      <c r="B66" s="2"/>
      <c r="C66" s="2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2"/>
      <c r="B67" s="2"/>
      <c r="C67" s="2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2"/>
      <c r="B68" s="2"/>
      <c r="C68" s="2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2"/>
      <c r="B69" s="2"/>
      <c r="C69" s="2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2"/>
      <c r="B70" s="2"/>
      <c r="C70" s="2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2"/>
      <c r="B71" s="2"/>
      <c r="C71" s="2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2"/>
      <c r="B72" s="2"/>
      <c r="C72" s="2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2"/>
      <c r="B73" s="2"/>
      <c r="C73" s="2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2"/>
      <c r="B74" s="2"/>
      <c r="C74" s="2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2"/>
      <c r="B75" s="2"/>
      <c r="C75" s="2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2"/>
      <c r="B76" s="2"/>
      <c r="C76" s="2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2"/>
      <c r="B77" s="2"/>
      <c r="C77" s="2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2"/>
      <c r="B78" s="2"/>
      <c r="C78" s="2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2"/>
      <c r="B79" s="2"/>
      <c r="C79" s="2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2"/>
      <c r="B80" s="2"/>
      <c r="C80" s="2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2"/>
      <c r="B81" s="2"/>
      <c r="C81" s="2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2"/>
      <c r="B82" s="2"/>
      <c r="C82" s="2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2"/>
      <c r="B83" s="2"/>
      <c r="C83" s="2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2"/>
      <c r="B84" s="2"/>
      <c r="C84" s="2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2"/>
      <c r="B85" s="2"/>
      <c r="C85" s="2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2"/>
      <c r="B86" s="2"/>
      <c r="C86" s="2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2"/>
      <c r="B87" s="2"/>
      <c r="C87" s="2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2"/>
      <c r="B88" s="2"/>
      <c r="C88" s="2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2"/>
      <c r="B89" s="2"/>
      <c r="C89" s="2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2"/>
      <c r="B90" s="2"/>
      <c r="C90" s="2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2"/>
      <c r="B91" s="2"/>
      <c r="C91" s="2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2"/>
      <c r="B92" s="2"/>
      <c r="C92" s="2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2"/>
      <c r="B93" s="2"/>
      <c r="C93" s="2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2"/>
      <c r="B94" s="2"/>
      <c r="C94" s="2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2"/>
      <c r="B95" s="2"/>
      <c r="C95" s="2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2"/>
      <c r="B96" s="2"/>
      <c r="C96" s="2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2"/>
      <c r="B97" s="2"/>
      <c r="C97" s="2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2"/>
      <c r="B98" s="2"/>
      <c r="C98" s="2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2"/>
      <c r="B99" s="2"/>
      <c r="C99" s="2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2"/>
      <c r="B100" s="2"/>
      <c r="C100" s="2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2"/>
      <c r="B101" s="2"/>
      <c r="C101" s="2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2"/>
      <c r="B102" s="2"/>
      <c r="C102" s="2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2"/>
      <c r="B103" s="2"/>
      <c r="C103" s="2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2"/>
      <c r="B104" s="2"/>
      <c r="C104" s="2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2"/>
      <c r="B105" s="2"/>
      <c r="C105" s="2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2"/>
      <c r="B106" s="2"/>
      <c r="C106" s="2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2"/>
      <c r="B107" s="2"/>
      <c r="C107" s="2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2"/>
      <c r="B108" s="2"/>
      <c r="C108" s="2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2"/>
      <c r="B109" s="2"/>
      <c r="C109" s="2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2"/>
      <c r="B110" s="2"/>
      <c r="C110" s="2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2"/>
      <c r="B111" s="2"/>
      <c r="C111" s="2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2"/>
      <c r="B112" s="2"/>
      <c r="C112" s="2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2"/>
      <c r="B113" s="2"/>
      <c r="C113" s="2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2"/>
      <c r="B114" s="2"/>
      <c r="C114" s="2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2"/>
      <c r="B115" s="2"/>
      <c r="C115" s="2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2"/>
      <c r="B116" s="2"/>
      <c r="C116" s="2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2"/>
      <c r="B117" s="2"/>
      <c r="C117" s="2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2"/>
      <c r="B118" s="2"/>
      <c r="C118" s="2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2"/>
      <c r="B119" s="2"/>
      <c r="C119" s="2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2"/>
      <c r="B120" s="2"/>
      <c r="C120" s="2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2"/>
      <c r="B121" s="2"/>
      <c r="C121" s="2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2"/>
      <c r="B122" s="2"/>
      <c r="C122" s="2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2"/>
      <c r="B123" s="2"/>
      <c r="C123" s="2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2"/>
      <c r="B124" s="2"/>
      <c r="C124" s="2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2"/>
      <c r="B125" s="2"/>
      <c r="C125" s="2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2"/>
      <c r="B126" s="2"/>
      <c r="C126" s="2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2"/>
      <c r="B127" s="2"/>
      <c r="C127" s="2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2"/>
      <c r="B128" s="2"/>
      <c r="C128" s="2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2"/>
      <c r="B129" s="2"/>
      <c r="C129" s="2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2"/>
      <c r="B130" s="2"/>
      <c r="C130" s="2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2"/>
      <c r="B131" s="2"/>
      <c r="C131" s="2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2"/>
      <c r="B132" s="2"/>
      <c r="C132" s="2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2"/>
      <c r="B133" s="2"/>
      <c r="C133" s="2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2"/>
      <c r="B134" s="2"/>
      <c r="C134" s="2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2"/>
      <c r="B135" s="2"/>
      <c r="C135" s="2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2"/>
      <c r="B136" s="2"/>
      <c r="C136" s="2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2"/>
      <c r="B137" s="2"/>
      <c r="C137" s="2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2"/>
      <c r="B138" s="2"/>
      <c r="C138" s="2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2"/>
      <c r="B139" s="2"/>
      <c r="C139" s="2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2"/>
      <c r="B140" s="2"/>
      <c r="C140" s="2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2"/>
      <c r="B141" s="2"/>
      <c r="C141" s="2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2"/>
      <c r="B142" s="2"/>
      <c r="C142" s="2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2"/>
      <c r="B143" s="2"/>
      <c r="C143" s="2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2"/>
      <c r="B144" s="2"/>
      <c r="C144" s="2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2"/>
      <c r="B145" s="2"/>
      <c r="C145" s="2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2"/>
      <c r="B146" s="2"/>
      <c r="C146" s="2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2"/>
      <c r="B147" s="2"/>
      <c r="C147" s="2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2"/>
      <c r="B148" s="2"/>
      <c r="C148" s="2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2"/>
      <c r="B149" s="2"/>
      <c r="C149" s="2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2"/>
      <c r="B150" s="2"/>
      <c r="C150" s="2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2"/>
      <c r="B151" s="2"/>
      <c r="C151" s="2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2"/>
      <c r="B152" s="2"/>
      <c r="C152" s="2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2"/>
      <c r="B153" s="2"/>
      <c r="C153" s="2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2"/>
      <c r="B154" s="2"/>
      <c r="C154" s="2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2"/>
      <c r="B155" s="2"/>
      <c r="C155" s="2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2"/>
      <c r="B156" s="2"/>
      <c r="C156" s="2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2"/>
      <c r="B157" s="2"/>
      <c r="C157" s="2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2"/>
      <c r="B158" s="2"/>
      <c r="C158" s="2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2"/>
      <c r="B159" s="2"/>
      <c r="C159" s="2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2"/>
      <c r="B160" s="2"/>
      <c r="C160" s="2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2"/>
      <c r="B161" s="2"/>
      <c r="C161" s="2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2"/>
      <c r="B162" s="2"/>
      <c r="C162" s="2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2"/>
      <c r="B163" s="2"/>
      <c r="C163" s="2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2"/>
      <c r="B164" s="2"/>
      <c r="C164" s="2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2"/>
      <c r="B165" s="2"/>
      <c r="C165" s="2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2"/>
      <c r="B166" s="2"/>
      <c r="C166" s="2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2"/>
      <c r="B167" s="2"/>
      <c r="C167" s="2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2"/>
      <c r="B168" s="2"/>
      <c r="C168" s="2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2"/>
      <c r="B169" s="2"/>
      <c r="C169" s="2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2"/>
      <c r="B170" s="2"/>
      <c r="C170" s="2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2"/>
      <c r="B171" s="2"/>
      <c r="C171" s="2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2"/>
      <c r="B172" s="2"/>
      <c r="C172" s="2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2"/>
      <c r="B173" s="2"/>
      <c r="C173" s="2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2"/>
      <c r="B174" s="2"/>
      <c r="C174" s="2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2"/>
      <c r="B175" s="2"/>
      <c r="C175" s="2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2"/>
      <c r="B176" s="2"/>
      <c r="C176" s="2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2"/>
      <c r="B177" s="2"/>
      <c r="C177" s="2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2"/>
      <c r="B178" s="2"/>
      <c r="C178" s="2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2"/>
      <c r="B179" s="2"/>
      <c r="C179" s="2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2"/>
      <c r="B180" s="2"/>
      <c r="C180" s="2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2"/>
      <c r="B181" s="2"/>
      <c r="C181" s="2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2"/>
      <c r="B182" s="2"/>
      <c r="C182" s="2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2"/>
      <c r="B183" s="2"/>
      <c r="C183" s="2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2"/>
      <c r="B184" s="2"/>
      <c r="C184" s="2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2"/>
      <c r="B185" s="2"/>
      <c r="C185" s="2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2"/>
      <c r="B186" s="2"/>
      <c r="C186" s="2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2"/>
      <c r="B187" s="2"/>
      <c r="C187" s="2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2"/>
      <c r="B188" s="2"/>
      <c r="C188" s="2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2"/>
      <c r="B189" s="2"/>
      <c r="C189" s="2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2"/>
      <c r="B190" s="2"/>
      <c r="C190" s="2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2"/>
      <c r="B191" s="2"/>
      <c r="C191" s="2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2"/>
      <c r="B192" s="2"/>
      <c r="C192" s="2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2"/>
      <c r="B193" s="2"/>
      <c r="C193" s="2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2"/>
      <c r="B194" s="2"/>
      <c r="C194" s="2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2"/>
      <c r="B195" s="2"/>
      <c r="C195" s="2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2"/>
      <c r="B196" s="2"/>
      <c r="C196" s="2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2"/>
      <c r="B197" s="2"/>
      <c r="C197" s="2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2"/>
      <c r="B198" s="2"/>
      <c r="C198" s="2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2"/>
      <c r="B199" s="2"/>
      <c r="C199" s="2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2"/>
      <c r="B200" s="2"/>
      <c r="C200" s="2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2"/>
      <c r="B201" s="2"/>
      <c r="C201" s="2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2"/>
      <c r="B202" s="2"/>
      <c r="C202" s="2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2"/>
      <c r="B203" s="2"/>
      <c r="C203" s="2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2"/>
      <c r="B204" s="2"/>
      <c r="C204" s="2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2"/>
      <c r="B205" s="2"/>
      <c r="C205" s="2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2"/>
      <c r="B206" s="2"/>
      <c r="C206" s="2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2"/>
      <c r="B207" s="2"/>
      <c r="C207" s="2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2"/>
      <c r="B208" s="2"/>
      <c r="C208" s="2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2"/>
      <c r="B209" s="2"/>
      <c r="C209" s="2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2"/>
      <c r="B210" s="2"/>
      <c r="C210" s="2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2"/>
      <c r="B211" s="2"/>
      <c r="C211" s="2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2"/>
      <c r="B212" s="2"/>
      <c r="C212" s="2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2"/>
      <c r="B213" s="2"/>
      <c r="C213" s="2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2"/>
      <c r="B214" s="2"/>
      <c r="C214" s="2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2"/>
      <c r="B215" s="2"/>
      <c r="C215" s="2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2"/>
      <c r="B216" s="2"/>
      <c r="C216" s="2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2"/>
      <c r="B217" s="2"/>
      <c r="C217" s="2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2"/>
      <c r="B218" s="2"/>
      <c r="C218" s="2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2"/>
      <c r="B219" s="2"/>
      <c r="C219" s="2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2"/>
      <c r="B220" s="2"/>
      <c r="C220" s="2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2"/>
      <c r="B221" s="2"/>
      <c r="C221" s="2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2"/>
      <c r="B222" s="2"/>
      <c r="C222" s="2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2"/>
      <c r="B223" s="2"/>
      <c r="C223" s="2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2"/>
      <c r="B224" s="2"/>
      <c r="C224" s="2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2"/>
      <c r="B225" s="2"/>
      <c r="C225" s="2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2"/>
      <c r="B226" s="2"/>
      <c r="C226" s="2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2"/>
      <c r="B227" s="2"/>
      <c r="C227" s="2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2"/>
      <c r="B228" s="2"/>
      <c r="C228" s="2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2"/>
      <c r="B229" s="2"/>
      <c r="C229" s="2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2"/>
      <c r="B230" s="2"/>
      <c r="C230" s="2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2"/>
      <c r="B231" s="2"/>
      <c r="C231" s="2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2"/>
      <c r="B232" s="2"/>
      <c r="C232" s="2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2"/>
      <c r="B233" s="2"/>
      <c r="C233" s="2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2"/>
      <c r="B234" s="2"/>
      <c r="C234" s="2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2"/>
      <c r="B235" s="2"/>
      <c r="C235" s="2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2"/>
      <c r="B236" s="2"/>
      <c r="C236" s="2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2"/>
      <c r="B237" s="2"/>
      <c r="C237" s="2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2"/>
      <c r="B238" s="2"/>
      <c r="C238" s="2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2"/>
      <c r="B239" s="2"/>
      <c r="C239" s="2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2"/>
      <c r="B240" s="2"/>
      <c r="C240" s="2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2"/>
      <c r="B241" s="2"/>
      <c r="C241" s="2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2"/>
      <c r="B242" s="2"/>
      <c r="C242" s="2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2"/>
      <c r="B243" s="2"/>
      <c r="C243" s="2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2"/>
      <c r="B244" s="2"/>
      <c r="C244" s="2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2"/>
      <c r="B245" s="2"/>
      <c r="C245" s="2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2"/>
      <c r="B246" s="2"/>
      <c r="C246" s="2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2"/>
      <c r="B247" s="2"/>
      <c r="C247" s="2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2"/>
      <c r="B248" s="2"/>
      <c r="C248" s="2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2"/>
      <c r="B249" s="2"/>
      <c r="C249" s="2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2"/>
      <c r="B250" s="2"/>
      <c r="C250" s="2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2"/>
      <c r="B251" s="2"/>
      <c r="C251" s="2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2"/>
      <c r="B252" s="2"/>
      <c r="C252" s="2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2"/>
      <c r="B253" s="2"/>
      <c r="C253" s="2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2"/>
      <c r="B254" s="2"/>
      <c r="C254" s="2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2"/>
      <c r="B255" s="2"/>
      <c r="C255" s="2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2"/>
      <c r="B256" s="2"/>
      <c r="C256" s="2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2"/>
      <c r="B257" s="2"/>
      <c r="C257" s="2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2"/>
      <c r="B258" s="2"/>
      <c r="C258" s="2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2"/>
      <c r="B259" s="2"/>
      <c r="C259" s="2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2"/>
      <c r="B260" s="2"/>
      <c r="C260" s="2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2"/>
      <c r="B261" s="2"/>
      <c r="C261" s="2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2"/>
      <c r="B262" s="2"/>
      <c r="C262" s="2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2"/>
      <c r="B263" s="2"/>
      <c r="C263" s="2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2"/>
      <c r="B264" s="2"/>
      <c r="C264" s="2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2"/>
      <c r="B265" s="2"/>
      <c r="C265" s="2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2"/>
      <c r="B266" s="2"/>
      <c r="C266" s="2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2"/>
      <c r="B267" s="2"/>
      <c r="C267" s="2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2"/>
      <c r="B268" s="2"/>
      <c r="C268" s="2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2"/>
      <c r="B269" s="2"/>
      <c r="C269" s="2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2"/>
      <c r="B270" s="2"/>
      <c r="C270" s="2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2"/>
      <c r="B271" s="2"/>
      <c r="C271" s="2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2"/>
      <c r="B272" s="2"/>
      <c r="C272" s="2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2"/>
      <c r="B273" s="2"/>
      <c r="C273" s="2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2"/>
      <c r="B274" s="2"/>
      <c r="C274" s="2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2"/>
      <c r="B275" s="2"/>
      <c r="C275" s="2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2"/>
      <c r="B276" s="2"/>
      <c r="C276" s="2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2"/>
      <c r="B277" s="2"/>
      <c r="C277" s="2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2"/>
      <c r="B278" s="2"/>
      <c r="C278" s="2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2"/>
      <c r="B279" s="2"/>
      <c r="C279" s="2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2"/>
      <c r="B280" s="2"/>
      <c r="C280" s="2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2"/>
      <c r="B281" s="2"/>
      <c r="C281" s="2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2"/>
      <c r="B282" s="2"/>
      <c r="C282" s="2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2"/>
      <c r="B283" s="2"/>
      <c r="C283" s="2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2"/>
      <c r="B284" s="2"/>
      <c r="C284" s="2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2"/>
      <c r="B285" s="2"/>
      <c r="C285" s="2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2"/>
      <c r="B286" s="2"/>
      <c r="C286" s="2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2"/>
      <c r="B287" s="2"/>
      <c r="C287" s="2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2"/>
      <c r="B288" s="2"/>
      <c r="C288" s="2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2"/>
      <c r="B289" s="2"/>
      <c r="C289" s="2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2"/>
      <c r="B290" s="2"/>
      <c r="C290" s="2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2"/>
      <c r="B291" s="2"/>
      <c r="C291" s="2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2"/>
      <c r="B292" s="2"/>
      <c r="C292" s="2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2"/>
      <c r="B293" s="2"/>
      <c r="C293" s="2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2"/>
      <c r="B294" s="2"/>
      <c r="C294" s="2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2"/>
      <c r="B295" s="2"/>
      <c r="C295" s="2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2"/>
      <c r="B296" s="2"/>
      <c r="C296" s="2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2"/>
      <c r="B297" s="2"/>
      <c r="C297" s="2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2"/>
      <c r="B298" s="2"/>
      <c r="C298" s="2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2"/>
      <c r="B299" s="2"/>
      <c r="C299" s="2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2"/>
      <c r="B300" s="2"/>
      <c r="C300" s="2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2"/>
      <c r="B301" s="2"/>
      <c r="C301" s="2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2"/>
      <c r="B302" s="2"/>
      <c r="C302" s="2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2"/>
      <c r="B303" s="2"/>
      <c r="C303" s="2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2"/>
      <c r="B304" s="2"/>
      <c r="C304" s="2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2"/>
      <c r="B305" s="2"/>
      <c r="C305" s="2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2"/>
      <c r="B306" s="2"/>
      <c r="C306" s="2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2"/>
      <c r="B307" s="2"/>
      <c r="C307" s="2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2"/>
      <c r="B308" s="2"/>
      <c r="C308" s="2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2"/>
      <c r="B309" s="2"/>
      <c r="C309" s="2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2"/>
      <c r="B310" s="2"/>
      <c r="C310" s="2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2"/>
      <c r="B311" s="2"/>
      <c r="C311" s="2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2"/>
      <c r="B312" s="2"/>
      <c r="C312" s="2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2"/>
      <c r="B313" s="2"/>
      <c r="C313" s="2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2"/>
      <c r="B314" s="2"/>
      <c r="C314" s="2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2"/>
      <c r="B315" s="2"/>
      <c r="C315" s="2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2"/>
      <c r="B316" s="2"/>
      <c r="C316" s="2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2"/>
      <c r="B317" s="2"/>
      <c r="C317" s="2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2"/>
      <c r="B318" s="2"/>
      <c r="C318" s="2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2"/>
      <c r="B319" s="2"/>
      <c r="C319" s="2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2"/>
      <c r="B320" s="2"/>
      <c r="C320" s="2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2"/>
      <c r="B321" s="2"/>
      <c r="C321" s="2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2"/>
      <c r="B322" s="2"/>
      <c r="C322" s="2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2"/>
      <c r="B323" s="2"/>
      <c r="C323" s="2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2"/>
      <c r="B324" s="2"/>
      <c r="C324" s="2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2"/>
      <c r="B325" s="2"/>
      <c r="C325" s="2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2"/>
      <c r="B326" s="2"/>
      <c r="C326" s="2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2"/>
      <c r="B327" s="2"/>
      <c r="C327" s="2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2"/>
      <c r="B328" s="2"/>
      <c r="C328" s="2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2"/>
      <c r="B329" s="2"/>
      <c r="C329" s="2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2"/>
      <c r="B330" s="2"/>
      <c r="C330" s="2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2"/>
      <c r="B331" s="2"/>
      <c r="C331" s="2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2"/>
      <c r="B332" s="2"/>
      <c r="C332" s="2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2"/>
      <c r="B333" s="2"/>
      <c r="C333" s="2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2"/>
      <c r="B334" s="2"/>
      <c r="C334" s="2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2"/>
      <c r="B335" s="2"/>
      <c r="C335" s="2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2"/>
      <c r="B336" s="2"/>
      <c r="C336" s="2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2"/>
      <c r="B337" s="2"/>
      <c r="C337" s="2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2"/>
      <c r="B338" s="2"/>
      <c r="C338" s="2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2"/>
      <c r="B339" s="2"/>
      <c r="C339" s="2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2"/>
      <c r="B340" s="2"/>
      <c r="C340" s="2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2"/>
      <c r="B341" s="2"/>
      <c r="C341" s="2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2"/>
      <c r="B342" s="2"/>
      <c r="C342" s="2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2"/>
      <c r="B343" s="2"/>
      <c r="C343" s="2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2"/>
      <c r="B344" s="2"/>
      <c r="C344" s="2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2"/>
      <c r="B345" s="2"/>
      <c r="C345" s="2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2"/>
      <c r="B346" s="2"/>
      <c r="C346" s="2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2"/>
      <c r="B347" s="2"/>
      <c r="C347" s="2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2"/>
      <c r="B348" s="2"/>
      <c r="C348" s="2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2"/>
      <c r="B349" s="2"/>
      <c r="C349" s="2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2"/>
      <c r="B350" s="2"/>
      <c r="C350" s="2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2"/>
      <c r="B351" s="2"/>
      <c r="C351" s="2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2"/>
      <c r="B352" s="2"/>
      <c r="C352" s="2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2"/>
      <c r="B353" s="2"/>
      <c r="C353" s="2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2"/>
      <c r="B354" s="2"/>
      <c r="C354" s="2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2"/>
      <c r="B355" s="2"/>
      <c r="C355" s="2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2"/>
      <c r="B356" s="2"/>
      <c r="C356" s="2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2"/>
      <c r="B357" s="2"/>
      <c r="C357" s="2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2"/>
      <c r="B358" s="2"/>
      <c r="C358" s="2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2"/>
      <c r="B359" s="2"/>
      <c r="C359" s="2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2"/>
      <c r="B360" s="2"/>
      <c r="C360" s="2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2"/>
      <c r="B361" s="2"/>
      <c r="C361" s="2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2"/>
      <c r="B362" s="2"/>
      <c r="C362" s="2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2"/>
      <c r="B363" s="2"/>
      <c r="C363" s="2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2"/>
      <c r="B364" s="2"/>
      <c r="C364" s="2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2"/>
      <c r="B365" s="2"/>
      <c r="C365" s="2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2"/>
      <c r="B366" s="2"/>
      <c r="C366" s="2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2"/>
      <c r="B367" s="2"/>
      <c r="C367" s="2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2"/>
      <c r="B368" s="2"/>
      <c r="C368" s="2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2"/>
      <c r="B369" s="2"/>
      <c r="C369" s="2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2"/>
      <c r="B370" s="2"/>
      <c r="C370" s="2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2"/>
      <c r="B371" s="2"/>
      <c r="C371" s="2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2"/>
      <c r="B372" s="2"/>
      <c r="C372" s="2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2"/>
      <c r="B373" s="2"/>
      <c r="C373" s="2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2"/>
      <c r="B374" s="2"/>
      <c r="C374" s="2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2"/>
      <c r="B375" s="2"/>
      <c r="C375" s="2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2"/>
      <c r="B376" s="2"/>
      <c r="C376" s="2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2"/>
      <c r="B377" s="2"/>
      <c r="C377" s="2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2"/>
      <c r="B378" s="2"/>
      <c r="C378" s="2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2"/>
      <c r="B379" s="2"/>
      <c r="C379" s="2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2"/>
      <c r="B380" s="2"/>
      <c r="C380" s="2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2"/>
      <c r="B381" s="2"/>
      <c r="C381" s="2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2"/>
      <c r="B382" s="2"/>
      <c r="C382" s="2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2"/>
      <c r="B383" s="2"/>
      <c r="C383" s="2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2"/>
      <c r="B384" s="2"/>
      <c r="C384" s="2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2"/>
      <c r="B385" s="2"/>
      <c r="C385" s="2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2"/>
      <c r="B386" s="2"/>
      <c r="C386" s="2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2"/>
      <c r="B387" s="2"/>
      <c r="C387" s="2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2"/>
      <c r="B388" s="2"/>
      <c r="C388" s="2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2"/>
      <c r="B389" s="2"/>
      <c r="C389" s="2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2"/>
      <c r="B390" s="2"/>
      <c r="C390" s="2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2"/>
      <c r="B391" s="2"/>
      <c r="C391" s="2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2"/>
      <c r="B392" s="2"/>
      <c r="C392" s="2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2"/>
      <c r="B393" s="2"/>
      <c r="C393" s="2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2"/>
      <c r="B394" s="2"/>
      <c r="C394" s="2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2"/>
      <c r="B395" s="2"/>
      <c r="C395" s="2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2"/>
      <c r="B396" s="2"/>
      <c r="C396" s="2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2"/>
      <c r="B397" s="2"/>
      <c r="C397" s="2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2"/>
      <c r="B398" s="2"/>
      <c r="C398" s="2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2"/>
      <c r="B399" s="2"/>
      <c r="C399" s="2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2"/>
      <c r="B400" s="2"/>
      <c r="C400" s="2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2"/>
      <c r="B401" s="2"/>
      <c r="C401" s="2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2"/>
      <c r="B402" s="2"/>
      <c r="C402" s="2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2"/>
      <c r="B403" s="2"/>
      <c r="C403" s="2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2"/>
      <c r="B404" s="2"/>
      <c r="C404" s="2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2"/>
      <c r="B405" s="2"/>
      <c r="C405" s="2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2"/>
      <c r="B406" s="2"/>
      <c r="C406" s="2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2"/>
      <c r="B407" s="2"/>
      <c r="C407" s="2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2"/>
      <c r="B408" s="2"/>
      <c r="C408" s="2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2"/>
      <c r="B409" s="2"/>
      <c r="C409" s="2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2"/>
      <c r="B410" s="2"/>
      <c r="C410" s="2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2"/>
      <c r="B411" s="2"/>
      <c r="C411" s="2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2"/>
      <c r="B412" s="2"/>
      <c r="C412" s="2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2"/>
      <c r="B413" s="2"/>
      <c r="C413" s="2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2"/>
      <c r="B414" s="2"/>
      <c r="C414" s="2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2"/>
      <c r="B415" s="2"/>
      <c r="C415" s="2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2"/>
      <c r="B416" s="2"/>
      <c r="C416" s="2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2"/>
      <c r="B417" s="2"/>
      <c r="C417" s="2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2"/>
      <c r="B418" s="2"/>
      <c r="C418" s="2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2"/>
      <c r="B419" s="2"/>
      <c r="C419" s="2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2"/>
      <c r="B420" s="2"/>
      <c r="C420" s="2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2"/>
      <c r="B421" s="2"/>
      <c r="C421" s="2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2"/>
      <c r="B422" s="2"/>
      <c r="C422" s="2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2"/>
      <c r="B423" s="2"/>
      <c r="C423" s="2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2"/>
      <c r="B424" s="2"/>
      <c r="C424" s="2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2"/>
      <c r="B425" s="2"/>
      <c r="C425" s="2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2"/>
      <c r="B426" s="2"/>
      <c r="C426" s="2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2"/>
      <c r="B427" s="2"/>
      <c r="C427" s="2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2"/>
      <c r="B428" s="2"/>
      <c r="C428" s="2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2"/>
      <c r="B429" s="2"/>
      <c r="C429" s="2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2"/>
      <c r="B430" s="2"/>
      <c r="C430" s="2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2"/>
      <c r="B431" s="2"/>
      <c r="C431" s="2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2"/>
      <c r="B432" s="2"/>
      <c r="C432" s="2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2"/>
      <c r="B433" s="2"/>
      <c r="C433" s="2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2"/>
      <c r="B434" s="2"/>
      <c r="C434" s="2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2"/>
      <c r="B435" s="2"/>
      <c r="C435" s="2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2"/>
      <c r="B436" s="2"/>
      <c r="C436" s="2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2"/>
      <c r="B437" s="2"/>
      <c r="C437" s="2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2"/>
      <c r="B438" s="2"/>
      <c r="C438" s="2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2"/>
      <c r="B439" s="2"/>
      <c r="C439" s="2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2"/>
      <c r="B440" s="2"/>
      <c r="C440" s="2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2"/>
      <c r="B441" s="2"/>
      <c r="C441" s="2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2"/>
      <c r="B442" s="2"/>
      <c r="C442" s="2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2"/>
      <c r="B443" s="2"/>
      <c r="C443" s="2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2"/>
      <c r="B444" s="2"/>
      <c r="C444" s="2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2"/>
      <c r="B445" s="2"/>
      <c r="C445" s="2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2"/>
      <c r="B446" s="2"/>
      <c r="C446" s="2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2"/>
      <c r="B447" s="2"/>
      <c r="C447" s="2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2"/>
      <c r="B448" s="2"/>
      <c r="C448" s="2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2"/>
      <c r="B449" s="2"/>
      <c r="C449" s="2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2"/>
      <c r="B450" s="2"/>
      <c r="C450" s="2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2"/>
      <c r="B451" s="2"/>
      <c r="C451" s="2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2"/>
      <c r="B452" s="2"/>
      <c r="C452" s="2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2"/>
      <c r="B453" s="2"/>
      <c r="C453" s="2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2"/>
      <c r="B454" s="2"/>
      <c r="C454" s="2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2"/>
      <c r="B455" s="2"/>
      <c r="C455" s="2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2"/>
      <c r="B456" s="2"/>
      <c r="C456" s="2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2"/>
      <c r="B457" s="2"/>
      <c r="C457" s="2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2"/>
      <c r="B458" s="2"/>
      <c r="C458" s="2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2"/>
      <c r="B459" s="2"/>
      <c r="C459" s="2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2"/>
      <c r="B460" s="2"/>
      <c r="C460" s="2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2"/>
      <c r="B461" s="2"/>
      <c r="C461" s="2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2"/>
      <c r="B462" s="2"/>
      <c r="C462" s="2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2"/>
      <c r="B463" s="2"/>
      <c r="C463" s="2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2"/>
      <c r="B464" s="2"/>
      <c r="C464" s="2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2"/>
      <c r="B465" s="2"/>
      <c r="C465" s="2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2"/>
      <c r="B466" s="2"/>
      <c r="C466" s="2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2"/>
      <c r="B467" s="2"/>
      <c r="C467" s="2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2"/>
      <c r="B468" s="2"/>
      <c r="C468" s="2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2"/>
      <c r="B469" s="2"/>
      <c r="C469" s="2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2"/>
      <c r="B470" s="2"/>
      <c r="C470" s="2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2"/>
      <c r="B471" s="2"/>
      <c r="C471" s="2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2"/>
      <c r="B472" s="2"/>
      <c r="C472" s="2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2"/>
      <c r="B473" s="2"/>
      <c r="C473" s="2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2"/>
      <c r="B474" s="2"/>
      <c r="C474" s="2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2"/>
      <c r="B475" s="2"/>
      <c r="C475" s="2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2"/>
      <c r="B476" s="2"/>
      <c r="C476" s="2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2"/>
      <c r="B477" s="2"/>
      <c r="C477" s="2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2"/>
      <c r="B478" s="2"/>
      <c r="C478" s="2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2"/>
      <c r="B479" s="2"/>
      <c r="C479" s="2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2"/>
      <c r="B480" s="2"/>
      <c r="C480" s="2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2"/>
      <c r="B481" s="2"/>
      <c r="C481" s="2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2"/>
      <c r="B482" s="2"/>
      <c r="C482" s="2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2"/>
      <c r="B483" s="2"/>
      <c r="C483" s="2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2"/>
      <c r="B484" s="2"/>
      <c r="C484" s="2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2"/>
      <c r="B485" s="2"/>
      <c r="C485" s="2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2"/>
      <c r="B486" s="2"/>
      <c r="C486" s="2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2"/>
      <c r="B487" s="2"/>
      <c r="C487" s="2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2"/>
      <c r="B488" s="2"/>
      <c r="C488" s="2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2"/>
      <c r="B489" s="2"/>
      <c r="C489" s="2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2"/>
      <c r="B490" s="2"/>
      <c r="C490" s="2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2"/>
      <c r="B491" s="2"/>
      <c r="C491" s="2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2"/>
      <c r="B492" s="2"/>
      <c r="C492" s="2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2"/>
      <c r="B493" s="2"/>
      <c r="C493" s="2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2"/>
      <c r="B494" s="2"/>
      <c r="C494" s="2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2"/>
      <c r="B495" s="2"/>
      <c r="C495" s="2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2"/>
      <c r="B496" s="2"/>
      <c r="C496" s="2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2"/>
      <c r="B497" s="2"/>
      <c r="C497" s="2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2"/>
      <c r="B498" s="2"/>
      <c r="C498" s="2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2"/>
      <c r="B499" s="2"/>
      <c r="C499" s="2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2"/>
      <c r="B500" s="2"/>
      <c r="C500" s="2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2"/>
      <c r="B501" s="2"/>
      <c r="C501" s="2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2"/>
      <c r="B502" s="2"/>
      <c r="C502" s="2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2"/>
      <c r="B503" s="2"/>
      <c r="C503" s="2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2"/>
      <c r="B504" s="2"/>
      <c r="C504" s="2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2"/>
      <c r="B505" s="2"/>
      <c r="C505" s="2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2"/>
      <c r="B506" s="2"/>
      <c r="C506" s="2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2"/>
      <c r="B507" s="2"/>
      <c r="C507" s="2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2"/>
      <c r="B508" s="2"/>
      <c r="C508" s="2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2"/>
      <c r="B509" s="2"/>
      <c r="C509" s="2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2"/>
      <c r="B510" s="2"/>
      <c r="C510" s="2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2"/>
      <c r="B511" s="2"/>
      <c r="C511" s="2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2"/>
      <c r="B512" s="2"/>
      <c r="C512" s="2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2"/>
      <c r="B513" s="2"/>
      <c r="C513" s="2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2"/>
      <c r="B514" s="2"/>
      <c r="C514" s="2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2"/>
      <c r="B515" s="2"/>
      <c r="C515" s="2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2"/>
      <c r="B516" s="2"/>
      <c r="C516" s="2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2"/>
      <c r="B517" s="2"/>
      <c r="C517" s="2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2"/>
      <c r="B518" s="2"/>
      <c r="C518" s="2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2"/>
      <c r="B519" s="2"/>
      <c r="C519" s="2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2"/>
      <c r="B520" s="2"/>
      <c r="C520" s="2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2"/>
      <c r="B521" s="2"/>
      <c r="C521" s="2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2"/>
      <c r="B522" s="2"/>
      <c r="C522" s="2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2"/>
      <c r="B523" s="2"/>
      <c r="C523" s="2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2"/>
      <c r="B524" s="2"/>
      <c r="C524" s="2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2"/>
      <c r="B525" s="2"/>
      <c r="C525" s="2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2"/>
      <c r="B526" s="2"/>
      <c r="C526" s="2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2"/>
      <c r="B527" s="2"/>
      <c r="C527" s="2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2"/>
      <c r="B528" s="2"/>
      <c r="C528" s="2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2"/>
      <c r="B529" s="2"/>
      <c r="C529" s="2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2"/>
      <c r="B530" s="2"/>
      <c r="C530" s="2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2"/>
      <c r="B531" s="2"/>
      <c r="C531" s="2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2"/>
      <c r="B532" s="2"/>
      <c r="C532" s="2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2"/>
      <c r="B533" s="2"/>
      <c r="C533" s="2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2"/>
      <c r="B534" s="2"/>
      <c r="C534" s="2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2"/>
      <c r="B535" s="2"/>
      <c r="C535" s="2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2"/>
      <c r="B536" s="2"/>
      <c r="C536" s="2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2"/>
      <c r="B537" s="2"/>
      <c r="C537" s="2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2"/>
      <c r="B538" s="2"/>
      <c r="C538" s="2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2"/>
      <c r="B539" s="2"/>
      <c r="C539" s="2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2"/>
      <c r="B540" s="2"/>
      <c r="C540" s="2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2"/>
      <c r="B541" s="2"/>
      <c r="C541" s="2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2"/>
      <c r="B542" s="2"/>
      <c r="C542" s="2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2"/>
      <c r="B543" s="2"/>
      <c r="C543" s="2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2"/>
      <c r="B544" s="2"/>
      <c r="C544" s="2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2"/>
      <c r="B545" s="2"/>
      <c r="C545" s="2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2"/>
      <c r="B546" s="2"/>
      <c r="C546" s="2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2"/>
      <c r="B547" s="2"/>
      <c r="C547" s="2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2"/>
      <c r="B548" s="2"/>
      <c r="C548" s="2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2"/>
      <c r="B549" s="2"/>
      <c r="C549" s="2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2"/>
      <c r="B550" s="2"/>
      <c r="C550" s="2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2"/>
      <c r="B551" s="2"/>
      <c r="C551" s="2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2"/>
      <c r="B552" s="2"/>
      <c r="C552" s="2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2"/>
      <c r="B553" s="2"/>
      <c r="C553" s="2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2"/>
      <c r="B554" s="2"/>
      <c r="C554" s="2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2"/>
      <c r="B555" s="2"/>
      <c r="C555" s="2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2"/>
      <c r="B556" s="2"/>
      <c r="C556" s="2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2"/>
      <c r="B557" s="2"/>
      <c r="C557" s="2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2"/>
      <c r="B558" s="2"/>
      <c r="C558" s="2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2"/>
      <c r="B559" s="2"/>
      <c r="C559" s="2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2"/>
      <c r="B560" s="2"/>
      <c r="C560" s="2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2"/>
      <c r="B561" s="2"/>
      <c r="C561" s="2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2"/>
      <c r="B562" s="2"/>
      <c r="C562" s="2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2"/>
      <c r="B563" s="2"/>
      <c r="C563" s="2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2"/>
      <c r="B564" s="2"/>
      <c r="C564" s="2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2"/>
      <c r="B565" s="2"/>
      <c r="C565" s="2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2"/>
      <c r="B566" s="2"/>
      <c r="C566" s="2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2"/>
      <c r="B567" s="2"/>
      <c r="C567" s="2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2"/>
      <c r="B568" s="2"/>
      <c r="C568" s="2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2"/>
      <c r="B569" s="2"/>
      <c r="C569" s="2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2"/>
      <c r="B570" s="2"/>
      <c r="C570" s="2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2"/>
      <c r="B571" s="2"/>
      <c r="C571" s="2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2"/>
      <c r="B572" s="2"/>
      <c r="C572" s="2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2"/>
      <c r="B573" s="2"/>
      <c r="C573" s="2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2"/>
      <c r="B574" s="2"/>
      <c r="C574" s="2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2"/>
      <c r="B575" s="2"/>
      <c r="C575" s="2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2"/>
      <c r="B576" s="2"/>
      <c r="C576" s="2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2"/>
      <c r="B577" s="2"/>
      <c r="C577" s="2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2"/>
      <c r="B578" s="2"/>
      <c r="C578" s="2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2"/>
      <c r="B579" s="2"/>
      <c r="C579" s="2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2"/>
      <c r="B580" s="2"/>
      <c r="C580" s="2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2"/>
      <c r="B581" s="2"/>
      <c r="C581" s="2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2"/>
      <c r="B582" s="2"/>
      <c r="C582" s="2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2"/>
      <c r="B583" s="2"/>
      <c r="C583" s="2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2"/>
      <c r="B584" s="2"/>
      <c r="C584" s="2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2"/>
      <c r="B585" s="2"/>
      <c r="C585" s="2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2"/>
      <c r="B586" s="2"/>
      <c r="C586" s="2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2"/>
      <c r="B587" s="2"/>
      <c r="C587" s="2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2"/>
      <c r="B588" s="2"/>
      <c r="C588" s="2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2"/>
      <c r="B589" s="2"/>
      <c r="C589" s="2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2"/>
      <c r="B590" s="2"/>
      <c r="C590" s="2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2"/>
      <c r="B591" s="2"/>
      <c r="C591" s="2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2"/>
      <c r="B592" s="2"/>
      <c r="C592" s="2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2"/>
      <c r="B593" s="2"/>
      <c r="C593" s="2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2"/>
      <c r="B594" s="2"/>
      <c r="C594" s="2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2"/>
      <c r="B595" s="2"/>
      <c r="C595" s="2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2"/>
      <c r="B596" s="2"/>
      <c r="C596" s="2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2"/>
      <c r="B597" s="2"/>
      <c r="C597" s="2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2"/>
      <c r="B598" s="2"/>
      <c r="C598" s="2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2"/>
      <c r="B599" s="2"/>
      <c r="C599" s="2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2"/>
      <c r="B600" s="2"/>
      <c r="C600" s="2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2"/>
      <c r="B601" s="2"/>
      <c r="C601" s="2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2"/>
      <c r="B602" s="2"/>
      <c r="C602" s="2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2"/>
      <c r="B603" s="2"/>
      <c r="C603" s="2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2"/>
      <c r="B604" s="2"/>
      <c r="C604" s="2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2"/>
      <c r="B605" s="2"/>
      <c r="C605" s="2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2"/>
      <c r="B606" s="2"/>
      <c r="C606" s="2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2"/>
      <c r="B607" s="2"/>
      <c r="C607" s="2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2"/>
      <c r="B608" s="2"/>
      <c r="C608" s="2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2"/>
      <c r="B609" s="2"/>
      <c r="C609" s="2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2"/>
      <c r="B610" s="2"/>
      <c r="C610" s="2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2"/>
      <c r="B611" s="2"/>
      <c r="C611" s="2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2"/>
      <c r="B612" s="2"/>
      <c r="C612" s="2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2"/>
      <c r="B613" s="2"/>
      <c r="C613" s="2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2"/>
      <c r="B614" s="2"/>
      <c r="C614" s="2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2"/>
      <c r="B615" s="2"/>
      <c r="C615" s="2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2"/>
      <c r="B616" s="2"/>
      <c r="C616" s="2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2"/>
      <c r="B617" s="2"/>
      <c r="C617" s="2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2"/>
      <c r="B618" s="2"/>
      <c r="C618" s="2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2"/>
      <c r="B619" s="2"/>
      <c r="C619" s="2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2"/>
      <c r="B620" s="2"/>
      <c r="C620" s="2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2"/>
      <c r="B621" s="2"/>
      <c r="C621" s="2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2"/>
      <c r="B622" s="2"/>
      <c r="C622" s="2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2"/>
      <c r="B623" s="2"/>
      <c r="C623" s="2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2"/>
      <c r="B624" s="2"/>
      <c r="C624" s="2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2"/>
      <c r="B625" s="2"/>
      <c r="C625" s="2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2"/>
      <c r="B626" s="2"/>
      <c r="C626" s="2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2"/>
      <c r="B627" s="2"/>
      <c r="C627" s="2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2"/>
      <c r="B628" s="2"/>
      <c r="C628" s="2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2"/>
      <c r="B629" s="2"/>
      <c r="C629" s="2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2"/>
      <c r="B630" s="2"/>
      <c r="C630" s="2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2"/>
      <c r="B631" s="2"/>
      <c r="C631" s="2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2"/>
      <c r="B632" s="2"/>
      <c r="C632" s="2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2"/>
      <c r="B633" s="2"/>
      <c r="C633" s="2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2"/>
      <c r="B634" s="2"/>
      <c r="C634" s="2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2"/>
      <c r="B635" s="2"/>
      <c r="C635" s="2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2"/>
      <c r="B636" s="2"/>
      <c r="C636" s="2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2"/>
      <c r="B637" s="2"/>
      <c r="C637" s="2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2"/>
      <c r="B638" s="2"/>
      <c r="C638" s="2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2"/>
      <c r="B639" s="2"/>
      <c r="C639" s="2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2"/>
      <c r="B640" s="2"/>
      <c r="C640" s="2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2"/>
      <c r="B641" s="2"/>
      <c r="C641" s="2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2"/>
      <c r="B642" s="2"/>
      <c r="C642" s="2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2"/>
      <c r="B643" s="2"/>
      <c r="C643" s="2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2"/>
      <c r="B644" s="2"/>
      <c r="C644" s="2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2"/>
      <c r="B645" s="2"/>
      <c r="C645" s="2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2"/>
      <c r="B646" s="2"/>
      <c r="C646" s="2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2"/>
      <c r="B647" s="2"/>
      <c r="C647" s="2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2"/>
      <c r="B648" s="2"/>
      <c r="C648" s="2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2"/>
      <c r="B649" s="2"/>
      <c r="C649" s="2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2"/>
      <c r="B650" s="2"/>
      <c r="C650" s="2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2"/>
      <c r="B651" s="2"/>
      <c r="C651" s="2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2"/>
      <c r="B652" s="2"/>
      <c r="C652" s="2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2"/>
      <c r="B653" s="2"/>
      <c r="C653" s="2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2"/>
      <c r="B654" s="2"/>
      <c r="C654" s="2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2"/>
      <c r="B655" s="2"/>
      <c r="C655" s="2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2"/>
      <c r="B656" s="2"/>
      <c r="C656" s="2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2"/>
      <c r="B657" s="2"/>
      <c r="C657" s="2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2"/>
      <c r="B658" s="2"/>
      <c r="C658" s="2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2"/>
      <c r="B659" s="2"/>
      <c r="C659" s="2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2"/>
      <c r="B660" s="2"/>
      <c r="C660" s="2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2"/>
      <c r="B661" s="2"/>
      <c r="C661" s="2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2"/>
      <c r="B662" s="2"/>
      <c r="C662" s="2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2"/>
      <c r="B663" s="2"/>
      <c r="C663" s="2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2"/>
      <c r="B664" s="2"/>
      <c r="C664" s="2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2"/>
      <c r="B665" s="2"/>
      <c r="C665" s="2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2"/>
      <c r="B666" s="2"/>
      <c r="C666" s="2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2"/>
      <c r="B667" s="2"/>
      <c r="C667" s="2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2"/>
      <c r="B668" s="2"/>
      <c r="C668" s="2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2"/>
      <c r="B669" s="2"/>
      <c r="C669" s="2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2"/>
      <c r="B670" s="2"/>
      <c r="C670" s="2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2"/>
      <c r="B671" s="2"/>
      <c r="C671" s="2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2"/>
      <c r="B672" s="2"/>
      <c r="C672" s="2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2"/>
      <c r="B673" s="2"/>
      <c r="C673" s="2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2"/>
      <c r="B674" s="2"/>
      <c r="C674" s="2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2"/>
      <c r="B675" s="2"/>
      <c r="C675" s="2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2"/>
      <c r="B676" s="2"/>
      <c r="C676" s="2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2"/>
      <c r="B677" s="2"/>
      <c r="C677" s="2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2"/>
      <c r="B678" s="2"/>
      <c r="C678" s="2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2"/>
      <c r="B679" s="2"/>
      <c r="C679" s="2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2"/>
      <c r="B680" s="2"/>
      <c r="C680" s="2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2"/>
      <c r="B681" s="2"/>
      <c r="C681" s="2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2"/>
      <c r="B682" s="2"/>
      <c r="C682" s="2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2"/>
      <c r="B683" s="2"/>
      <c r="C683" s="2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2"/>
      <c r="B684" s="2"/>
      <c r="C684" s="2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2"/>
      <c r="B685" s="2"/>
      <c r="C685" s="2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2"/>
      <c r="B686" s="2"/>
      <c r="C686" s="2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2"/>
      <c r="B687" s="2"/>
      <c r="C687" s="2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2"/>
      <c r="B688" s="2"/>
      <c r="C688" s="2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2"/>
      <c r="B689" s="2"/>
      <c r="C689" s="2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2"/>
      <c r="B690" s="2"/>
      <c r="C690" s="2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2"/>
      <c r="B691" s="2"/>
      <c r="C691" s="2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2"/>
      <c r="B692" s="2"/>
      <c r="C692" s="2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2"/>
      <c r="B693" s="2"/>
      <c r="C693" s="2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2"/>
      <c r="B694" s="2"/>
      <c r="C694" s="2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2"/>
      <c r="B695" s="2"/>
      <c r="C695" s="2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2"/>
      <c r="B696" s="2"/>
      <c r="C696" s="2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2"/>
      <c r="B697" s="2"/>
      <c r="C697" s="2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2"/>
      <c r="B698" s="2"/>
      <c r="C698" s="2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2"/>
      <c r="B699" s="2"/>
      <c r="C699" s="2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2"/>
      <c r="B700" s="2"/>
      <c r="C700" s="2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2"/>
      <c r="B701" s="2"/>
      <c r="C701" s="2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2"/>
      <c r="B702" s="2"/>
      <c r="C702" s="2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2"/>
      <c r="B703" s="2"/>
      <c r="C703" s="2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2"/>
      <c r="B704" s="2"/>
      <c r="C704" s="2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2"/>
      <c r="B705" s="2"/>
      <c r="C705" s="2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2"/>
      <c r="B706" s="2"/>
      <c r="C706" s="2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2"/>
      <c r="B707" s="2"/>
      <c r="C707" s="2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2"/>
      <c r="B708" s="2"/>
      <c r="C708" s="2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2"/>
      <c r="B709" s="2"/>
      <c r="C709" s="2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2"/>
      <c r="B710" s="2"/>
      <c r="C710" s="2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2"/>
      <c r="B711" s="2"/>
      <c r="C711" s="2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2"/>
      <c r="B712" s="2"/>
      <c r="C712" s="2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2"/>
      <c r="B713" s="2"/>
      <c r="C713" s="2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2"/>
      <c r="B714" s="2"/>
      <c r="C714" s="2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2"/>
      <c r="B715" s="2"/>
      <c r="C715" s="2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2"/>
      <c r="B716" s="2"/>
      <c r="C716" s="2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2"/>
      <c r="B717" s="2"/>
      <c r="C717" s="2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2"/>
      <c r="B718" s="2"/>
      <c r="C718" s="2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2"/>
      <c r="B719" s="2"/>
      <c r="C719" s="2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2"/>
      <c r="B720" s="2"/>
      <c r="C720" s="2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2"/>
      <c r="B721" s="2"/>
      <c r="C721" s="2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2"/>
      <c r="B722" s="2"/>
      <c r="C722" s="2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2"/>
      <c r="B723" s="2"/>
      <c r="C723" s="2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2"/>
      <c r="B724" s="2"/>
      <c r="C724" s="2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2"/>
      <c r="B725" s="2"/>
      <c r="C725" s="2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2"/>
      <c r="B726" s="2"/>
      <c r="C726" s="2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2"/>
      <c r="B727" s="2"/>
      <c r="C727" s="2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2"/>
      <c r="B728" s="2"/>
      <c r="C728" s="2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2"/>
      <c r="B729" s="2"/>
      <c r="C729" s="2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2"/>
      <c r="B730" s="2"/>
      <c r="C730" s="2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2"/>
      <c r="B731" s="2"/>
      <c r="C731" s="2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2"/>
      <c r="B732" s="2"/>
      <c r="C732" s="2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2"/>
      <c r="B733" s="2"/>
      <c r="C733" s="2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2"/>
      <c r="B734" s="2"/>
      <c r="C734" s="2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2"/>
      <c r="B735" s="2"/>
      <c r="C735" s="2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2"/>
      <c r="B736" s="2"/>
      <c r="C736" s="2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2"/>
      <c r="B737" s="2"/>
      <c r="C737" s="2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2"/>
      <c r="B738" s="2"/>
      <c r="C738" s="2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2"/>
      <c r="B739" s="2"/>
      <c r="C739" s="2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2"/>
      <c r="B740" s="2"/>
      <c r="C740" s="2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2"/>
      <c r="B741" s="2"/>
      <c r="C741" s="2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2"/>
      <c r="B742" s="2"/>
      <c r="C742" s="2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2"/>
      <c r="B743" s="2"/>
      <c r="C743" s="2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2"/>
      <c r="B744" s="2"/>
      <c r="C744" s="2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2"/>
      <c r="B745" s="2"/>
      <c r="C745" s="2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2"/>
      <c r="B746" s="2"/>
      <c r="C746" s="2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2"/>
      <c r="B747" s="2"/>
      <c r="C747" s="2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2"/>
      <c r="B748" s="2"/>
      <c r="C748" s="2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2"/>
      <c r="B749" s="2"/>
      <c r="C749" s="2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2"/>
      <c r="B750" s="2"/>
      <c r="C750" s="2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2"/>
      <c r="B751" s="2"/>
      <c r="C751" s="2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2"/>
      <c r="B752" s="2"/>
      <c r="C752" s="2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2"/>
      <c r="B753" s="2"/>
      <c r="C753" s="2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2"/>
      <c r="B754" s="2"/>
      <c r="C754" s="2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2"/>
      <c r="B755" s="2"/>
      <c r="C755" s="2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2"/>
      <c r="B756" s="2"/>
      <c r="C756" s="2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2"/>
      <c r="B757" s="2"/>
      <c r="C757" s="2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2"/>
      <c r="B758" s="2"/>
      <c r="C758" s="2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2"/>
      <c r="B759" s="2"/>
      <c r="C759" s="2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2"/>
      <c r="B760" s="2"/>
      <c r="C760" s="2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2"/>
      <c r="B761" s="2"/>
      <c r="C761" s="2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2"/>
      <c r="B762" s="2"/>
      <c r="C762" s="2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2"/>
      <c r="B763" s="2"/>
      <c r="C763" s="2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2"/>
      <c r="B764" s="2"/>
      <c r="C764" s="2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2"/>
      <c r="B765" s="2"/>
      <c r="C765" s="2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2"/>
      <c r="B766" s="2"/>
      <c r="C766" s="2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2"/>
      <c r="B767" s="2"/>
      <c r="C767" s="2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2"/>
      <c r="B768" s="2"/>
      <c r="C768" s="2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2"/>
      <c r="B769" s="2"/>
      <c r="C769" s="2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2"/>
      <c r="B770" s="2"/>
      <c r="C770" s="2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2"/>
      <c r="B771" s="2"/>
      <c r="C771" s="2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2"/>
      <c r="B772" s="2"/>
      <c r="C772" s="2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2"/>
      <c r="B773" s="2"/>
      <c r="C773" s="2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2"/>
      <c r="B774" s="2"/>
      <c r="C774" s="2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2"/>
      <c r="B775" s="2"/>
      <c r="C775" s="2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2"/>
      <c r="B776" s="2"/>
      <c r="C776" s="2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2"/>
      <c r="B777" s="2"/>
      <c r="C777" s="2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2"/>
      <c r="B778" s="2"/>
      <c r="C778" s="2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2"/>
      <c r="B779" s="2"/>
      <c r="C779" s="2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2"/>
      <c r="B780" s="2"/>
      <c r="C780" s="2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2"/>
      <c r="B781" s="2"/>
      <c r="C781" s="2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2"/>
      <c r="B782" s="2"/>
      <c r="C782" s="2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2"/>
      <c r="B783" s="2"/>
      <c r="C783" s="2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2"/>
      <c r="B784" s="2"/>
      <c r="C784" s="2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2"/>
      <c r="B785" s="2"/>
      <c r="C785" s="2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2"/>
      <c r="B786" s="2"/>
      <c r="C786" s="2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2"/>
      <c r="B787" s="2"/>
      <c r="C787" s="2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2"/>
      <c r="B788" s="2"/>
      <c r="C788" s="2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2"/>
      <c r="B789" s="2"/>
      <c r="C789" s="2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2"/>
      <c r="B790" s="2"/>
      <c r="C790" s="2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2"/>
      <c r="B791" s="2"/>
      <c r="C791" s="2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2"/>
      <c r="B792" s="2"/>
      <c r="C792" s="2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2"/>
      <c r="B793" s="2"/>
      <c r="C793" s="2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2"/>
      <c r="B794" s="2"/>
      <c r="C794" s="2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2"/>
      <c r="B795" s="2"/>
      <c r="C795" s="2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2"/>
      <c r="B796" s="2"/>
      <c r="C796" s="2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2"/>
      <c r="B797" s="2"/>
      <c r="C797" s="2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2"/>
      <c r="B798" s="2"/>
      <c r="C798" s="2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2"/>
      <c r="B799" s="2"/>
      <c r="C799" s="2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2"/>
      <c r="B800" s="2"/>
      <c r="C800" s="2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2"/>
      <c r="B801" s="2"/>
      <c r="C801" s="2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2"/>
      <c r="B802" s="2"/>
      <c r="C802" s="2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2"/>
      <c r="B803" s="2"/>
      <c r="C803" s="2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2"/>
      <c r="B804" s="2"/>
      <c r="C804" s="2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2"/>
      <c r="B805" s="2"/>
      <c r="C805" s="2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2"/>
      <c r="B806" s="2"/>
      <c r="C806" s="2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2"/>
      <c r="B807" s="2"/>
      <c r="C807" s="2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2"/>
      <c r="B808" s="2"/>
      <c r="C808" s="2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2"/>
      <c r="B809" s="2"/>
      <c r="C809" s="2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2"/>
      <c r="B810" s="2"/>
      <c r="C810" s="2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2"/>
      <c r="B811" s="2"/>
      <c r="C811" s="2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2"/>
      <c r="B812" s="2"/>
      <c r="C812" s="2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2"/>
      <c r="B813" s="2"/>
      <c r="C813" s="2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2"/>
      <c r="B814" s="2"/>
      <c r="C814" s="2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2"/>
      <c r="B815" s="2"/>
      <c r="C815" s="2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2"/>
      <c r="B816" s="2"/>
      <c r="C816" s="2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2"/>
      <c r="B817" s="2"/>
      <c r="C817" s="2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2"/>
      <c r="B818" s="2"/>
      <c r="C818" s="2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2"/>
      <c r="B819" s="2"/>
      <c r="C819" s="2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2"/>
      <c r="B820" s="2"/>
      <c r="C820" s="2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2"/>
      <c r="B821" s="2"/>
      <c r="C821" s="2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2"/>
      <c r="B822" s="2"/>
      <c r="C822" s="2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2"/>
      <c r="B823" s="2"/>
      <c r="C823" s="2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2"/>
      <c r="B824" s="2"/>
      <c r="C824" s="2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2"/>
      <c r="B825" s="2"/>
      <c r="C825" s="2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2"/>
      <c r="B826" s="2"/>
      <c r="C826" s="2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2"/>
      <c r="B827" s="2"/>
      <c r="C827" s="2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2"/>
      <c r="B828" s="2"/>
      <c r="C828" s="2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2"/>
      <c r="B829" s="2"/>
      <c r="C829" s="2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2"/>
      <c r="B830" s="2"/>
      <c r="C830" s="2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2"/>
      <c r="B831" s="2"/>
      <c r="C831" s="2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2"/>
      <c r="B832" s="2"/>
      <c r="C832" s="2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2"/>
      <c r="B833" s="2"/>
      <c r="C833" s="2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2"/>
      <c r="B834" s="2"/>
      <c r="C834" s="2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2"/>
      <c r="B835" s="2"/>
      <c r="C835" s="2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2"/>
      <c r="B836" s="2"/>
      <c r="C836" s="2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2"/>
      <c r="B837" s="2"/>
      <c r="C837" s="2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2"/>
      <c r="B838" s="2"/>
      <c r="C838" s="2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2"/>
      <c r="B839" s="2"/>
      <c r="C839" s="2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2"/>
      <c r="B840" s="2"/>
      <c r="C840" s="2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2"/>
      <c r="B841" s="2"/>
      <c r="C841" s="2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2"/>
      <c r="B842" s="2"/>
      <c r="C842" s="2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2"/>
      <c r="B843" s="2"/>
      <c r="C843" s="2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2"/>
      <c r="B844" s="2"/>
      <c r="C844" s="2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2"/>
      <c r="B845" s="2"/>
      <c r="C845" s="2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2"/>
      <c r="B846" s="2"/>
      <c r="C846" s="2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2"/>
      <c r="B847" s="2"/>
      <c r="C847" s="2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2"/>
      <c r="B848" s="2"/>
      <c r="C848" s="2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2"/>
      <c r="B849" s="2"/>
      <c r="C849" s="2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2"/>
      <c r="B850" s="2"/>
      <c r="C850" s="2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2"/>
      <c r="B851" s="2"/>
      <c r="C851" s="2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2"/>
      <c r="B852" s="2"/>
      <c r="C852" s="2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2"/>
      <c r="B853" s="2"/>
      <c r="C853" s="2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2"/>
      <c r="B854" s="2"/>
      <c r="C854" s="2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2"/>
      <c r="B855" s="2"/>
      <c r="C855" s="2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2"/>
      <c r="B856" s="2"/>
      <c r="C856" s="2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2"/>
      <c r="B857" s="2"/>
      <c r="C857" s="2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2"/>
      <c r="B858" s="2"/>
      <c r="C858" s="2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2"/>
      <c r="B859" s="2"/>
      <c r="C859" s="2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2"/>
      <c r="B860" s="2"/>
      <c r="C860" s="2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2"/>
      <c r="B861" s="2"/>
      <c r="C861" s="2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2"/>
      <c r="B862" s="2"/>
      <c r="C862" s="2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2"/>
      <c r="B863" s="2"/>
      <c r="C863" s="2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2"/>
      <c r="B864" s="2"/>
      <c r="C864" s="2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2"/>
      <c r="B865" s="2"/>
      <c r="C865" s="2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2"/>
      <c r="B866" s="2"/>
      <c r="C866" s="2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2"/>
      <c r="B867" s="2"/>
      <c r="C867" s="2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2"/>
      <c r="B868" s="2"/>
      <c r="C868" s="2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2"/>
      <c r="B869" s="2"/>
      <c r="C869" s="2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2"/>
      <c r="B870" s="2"/>
      <c r="C870" s="2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2"/>
      <c r="B871" s="2"/>
      <c r="C871" s="2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2"/>
      <c r="B872" s="2"/>
      <c r="C872" s="2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2"/>
      <c r="B873" s="2"/>
      <c r="C873" s="2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2"/>
      <c r="B874" s="2"/>
      <c r="C874" s="2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2"/>
      <c r="B875" s="2"/>
      <c r="C875" s="2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2"/>
      <c r="B876" s="2"/>
      <c r="C876" s="2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2"/>
      <c r="B877" s="2"/>
      <c r="C877" s="2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2"/>
      <c r="B878" s="2"/>
      <c r="C878" s="2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2"/>
      <c r="B879" s="2"/>
      <c r="C879" s="2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2"/>
      <c r="B880" s="2"/>
      <c r="C880" s="2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2"/>
      <c r="B881" s="2"/>
      <c r="C881" s="2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2"/>
      <c r="B882" s="2"/>
      <c r="C882" s="2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2"/>
      <c r="B883" s="2"/>
      <c r="C883" s="2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2"/>
      <c r="B884" s="2"/>
      <c r="C884" s="2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2"/>
      <c r="B885" s="2"/>
      <c r="C885" s="2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2"/>
      <c r="B886" s="2"/>
      <c r="C886" s="2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2"/>
      <c r="B887" s="2"/>
      <c r="C887" s="2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2"/>
      <c r="B888" s="2"/>
      <c r="C888" s="2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2"/>
      <c r="B889" s="2"/>
      <c r="C889" s="2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2"/>
      <c r="B890" s="2"/>
      <c r="C890" s="2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2"/>
      <c r="B891" s="2"/>
      <c r="C891" s="2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2"/>
      <c r="B892" s="2"/>
      <c r="C892" s="2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2"/>
      <c r="B893" s="2"/>
      <c r="C893" s="2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2"/>
      <c r="B894" s="2"/>
      <c r="C894" s="2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2"/>
      <c r="B895" s="2"/>
      <c r="C895" s="2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2"/>
      <c r="B896" s="2"/>
      <c r="C896" s="2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2"/>
      <c r="B897" s="2"/>
      <c r="C897" s="2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2"/>
      <c r="B898" s="2"/>
      <c r="C898" s="2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2"/>
      <c r="B899" s="2"/>
      <c r="C899" s="2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2"/>
      <c r="B900" s="2"/>
      <c r="C900" s="2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2"/>
      <c r="B901" s="2"/>
      <c r="C901" s="2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2"/>
      <c r="B902" s="2"/>
      <c r="C902" s="2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2"/>
      <c r="B903" s="2"/>
      <c r="C903" s="2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2"/>
      <c r="B904" s="2"/>
      <c r="C904" s="2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2"/>
      <c r="B905" s="2"/>
      <c r="C905" s="2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2"/>
      <c r="B906" s="2"/>
      <c r="C906" s="2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2"/>
      <c r="B907" s="2"/>
      <c r="C907" s="2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2"/>
      <c r="B908" s="2"/>
      <c r="C908" s="2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2"/>
      <c r="B909" s="2"/>
      <c r="C909" s="2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2"/>
      <c r="B910" s="2"/>
      <c r="C910" s="2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2"/>
      <c r="B911" s="2"/>
      <c r="C911" s="2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2"/>
      <c r="B912" s="2"/>
      <c r="C912" s="2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2"/>
      <c r="B913" s="2"/>
      <c r="C913" s="2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2"/>
      <c r="B914" s="2"/>
      <c r="C914" s="2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2"/>
      <c r="B915" s="2"/>
      <c r="C915" s="2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2"/>
      <c r="B916" s="2"/>
      <c r="C916" s="2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2"/>
      <c r="B917" s="2"/>
      <c r="C917" s="2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2"/>
      <c r="B918" s="2"/>
      <c r="C918" s="2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2"/>
      <c r="B919" s="2"/>
      <c r="C919" s="2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2"/>
      <c r="B920" s="2"/>
      <c r="C920" s="2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2"/>
      <c r="B921" s="2"/>
      <c r="C921" s="2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2"/>
      <c r="B922" s="2"/>
      <c r="C922" s="2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2"/>
      <c r="B923" s="2"/>
      <c r="C923" s="2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2"/>
      <c r="B924" s="2"/>
      <c r="C924" s="2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2"/>
      <c r="B925" s="2"/>
      <c r="C925" s="2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2"/>
      <c r="B926" s="2"/>
      <c r="C926" s="2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2"/>
      <c r="B927" s="2"/>
      <c r="C927" s="2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2"/>
      <c r="B928" s="2"/>
      <c r="C928" s="2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2"/>
      <c r="B929" s="2"/>
      <c r="C929" s="2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2"/>
      <c r="B930" s="2"/>
      <c r="C930" s="2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2"/>
      <c r="B931" s="2"/>
      <c r="C931" s="2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2"/>
      <c r="B932" s="2"/>
      <c r="C932" s="2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2"/>
      <c r="B933" s="2"/>
      <c r="C933" s="2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2"/>
      <c r="B934" s="2"/>
      <c r="C934" s="2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2"/>
      <c r="B935" s="2"/>
      <c r="C935" s="2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2"/>
      <c r="B936" s="2"/>
      <c r="C936" s="2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2"/>
      <c r="B937" s="2"/>
      <c r="C937" s="2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2"/>
      <c r="B938" s="2"/>
      <c r="C938" s="2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2"/>
      <c r="B939" s="2"/>
      <c r="C939" s="2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2"/>
      <c r="B940" s="2"/>
      <c r="C940" s="2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2"/>
      <c r="B941" s="2"/>
      <c r="C941" s="2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2"/>
      <c r="B942" s="2"/>
      <c r="C942" s="2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2"/>
      <c r="B943" s="2"/>
      <c r="C943" s="2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2"/>
      <c r="B944" s="2"/>
      <c r="C944" s="2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2"/>
      <c r="B945" s="2"/>
      <c r="C945" s="2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2"/>
      <c r="B946" s="2"/>
      <c r="C946" s="2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2"/>
      <c r="B947" s="2"/>
      <c r="C947" s="2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2"/>
      <c r="B948" s="2"/>
      <c r="C948" s="2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2"/>
      <c r="B949" s="2"/>
      <c r="C949" s="2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2"/>
      <c r="B950" s="2"/>
      <c r="C950" s="2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2"/>
      <c r="B951" s="2"/>
      <c r="C951" s="2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2"/>
      <c r="B952" s="2"/>
      <c r="C952" s="2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2"/>
      <c r="B953" s="2"/>
      <c r="C953" s="2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2"/>
      <c r="B954" s="2"/>
      <c r="C954" s="2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2"/>
      <c r="B955" s="2"/>
      <c r="C955" s="2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2"/>
      <c r="B956" s="2"/>
      <c r="C956" s="2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2"/>
      <c r="B957" s="2"/>
      <c r="C957" s="2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2"/>
      <c r="B958" s="2"/>
      <c r="C958" s="2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2"/>
      <c r="B959" s="2"/>
      <c r="C959" s="2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2"/>
      <c r="B960" s="2"/>
      <c r="C960" s="2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2"/>
      <c r="B961" s="2"/>
      <c r="C961" s="2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2"/>
      <c r="B962" s="2"/>
      <c r="C962" s="2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2"/>
      <c r="B963" s="2"/>
      <c r="C963" s="2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2"/>
      <c r="B964" s="2"/>
      <c r="C964" s="2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2"/>
      <c r="B965" s="2"/>
      <c r="C965" s="2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2"/>
      <c r="B966" s="2"/>
      <c r="C966" s="2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2"/>
      <c r="B967" s="2"/>
      <c r="C967" s="2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2"/>
      <c r="B968" s="2"/>
      <c r="C968" s="2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2"/>
      <c r="B969" s="2"/>
      <c r="C969" s="2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2"/>
      <c r="B970" s="2"/>
      <c r="C970" s="2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2"/>
      <c r="B971" s="2"/>
      <c r="C971" s="2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2"/>
      <c r="B972" s="2"/>
      <c r="C972" s="2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2"/>
      <c r="B973" s="2"/>
      <c r="C973" s="2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2"/>
      <c r="B974" s="2"/>
      <c r="C974" s="2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2"/>
      <c r="B975" s="2"/>
      <c r="C975" s="2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2"/>
      <c r="B976" s="2"/>
      <c r="C976" s="2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2"/>
      <c r="B977" s="2"/>
      <c r="C977" s="2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2"/>
      <c r="B978" s="2"/>
      <c r="C978" s="2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2"/>
      <c r="B979" s="2"/>
      <c r="C979" s="2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2"/>
      <c r="B980" s="2"/>
      <c r="C980" s="2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2"/>
      <c r="B981" s="2"/>
      <c r="C981" s="2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2"/>
      <c r="B982" s="2"/>
      <c r="C982" s="2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2"/>
      <c r="B983" s="2"/>
      <c r="C983" s="2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2"/>
      <c r="B984" s="2"/>
      <c r="C984" s="2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2"/>
      <c r="B985" s="2"/>
      <c r="C985" s="2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2"/>
      <c r="B986" s="2"/>
      <c r="C986" s="2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2"/>
      <c r="B987" s="2"/>
      <c r="C987" s="2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2"/>
      <c r="B988" s="2"/>
      <c r="C988" s="2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2"/>
      <c r="B989" s="2"/>
      <c r="C989" s="2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2"/>
      <c r="B990" s="2"/>
      <c r="C990" s="2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2"/>
      <c r="B991" s="2"/>
      <c r="C991" s="2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2"/>
      <c r="B992" s="2"/>
      <c r="C992" s="2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2"/>
      <c r="B993" s="2"/>
      <c r="C993" s="2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2"/>
      <c r="B994" s="2"/>
      <c r="C994" s="2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2"/>
      <c r="B995" s="2"/>
      <c r="C995" s="2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2"/>
      <c r="B996" s="2"/>
      <c r="C996" s="2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2"/>
      <c r="B997" s="2"/>
      <c r="C997" s="2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2"/>
      <c r="B998" s="2"/>
      <c r="C998" s="2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14">
    <mergeCell ref="J16:L17"/>
    <mergeCell ref="J18:L19"/>
    <mergeCell ref="O6:P7"/>
    <mergeCell ref="O8:P9"/>
    <mergeCell ref="J10:L11"/>
    <mergeCell ref="J12:L13"/>
    <mergeCell ref="J14:L15"/>
    <mergeCell ref="J9:L9"/>
    <mergeCell ref="J1:K1"/>
    <mergeCell ref="J2:K3"/>
    <mergeCell ref="L2:L3"/>
    <mergeCell ref="O2:P3"/>
    <mergeCell ref="J4:L4"/>
    <mergeCell ref="O4:P5"/>
  </mergeCells>
  <conditionalFormatting sqref="G2:G23">
    <cfRule type="colorScale" priority="1">
      <colorScale>
        <cfvo type="formula" val="0"/>
        <cfvo type="formula" val="0"/>
        <color rgb="FFFF0000"/>
        <color rgb="FF00B05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6F38-E985-4D1A-88D5-E466740F4D9E}">
  <dimension ref="A1:N28"/>
  <sheetViews>
    <sheetView showGridLines="0" workbookViewId="0">
      <selection activeCell="E29" sqref="E29"/>
    </sheetView>
  </sheetViews>
  <sheetFormatPr baseColWidth="10" defaultColWidth="8.83203125" defaultRowHeight="15"/>
  <cols>
    <col min="4" max="4" width="14.33203125" bestFit="1" customWidth="1"/>
    <col min="5" max="5" width="13.1640625" bestFit="1" customWidth="1"/>
    <col min="6" max="6" width="15.5" bestFit="1" customWidth="1"/>
    <col min="7" max="8" width="10.5" bestFit="1" customWidth="1"/>
    <col min="9" max="9" width="10.6640625" bestFit="1" customWidth="1"/>
    <col min="11" max="11" width="9.6640625" bestFit="1" customWidth="1"/>
    <col min="12" max="12" width="16" bestFit="1" customWidth="1"/>
    <col min="13" max="13" width="14.33203125" bestFit="1" customWidth="1"/>
  </cols>
  <sheetData>
    <row r="1" spans="1:14" ht="17" thickBot="1">
      <c r="A1" s="19" t="s">
        <v>0</v>
      </c>
      <c r="B1" s="20" t="s">
        <v>1</v>
      </c>
      <c r="C1" s="21" t="s">
        <v>2</v>
      </c>
      <c r="D1" s="22" t="s">
        <v>13</v>
      </c>
      <c r="E1" s="23" t="s">
        <v>12</v>
      </c>
      <c r="F1" s="24" t="s">
        <v>13</v>
      </c>
      <c r="G1" s="25" t="s">
        <v>16</v>
      </c>
      <c r="H1" s="26" t="s">
        <v>3</v>
      </c>
      <c r="I1" s="34" t="s">
        <v>4</v>
      </c>
      <c r="J1" s="307" t="s">
        <v>17</v>
      </c>
      <c r="K1" s="308"/>
      <c r="L1" s="33" t="s">
        <v>5</v>
      </c>
      <c r="M1" s="3"/>
      <c r="N1" s="3"/>
    </row>
    <row r="2" spans="1:14" ht="22.25" customHeight="1" thickBot="1">
      <c r="A2" s="83">
        <v>45725</v>
      </c>
      <c r="B2" s="12" t="s">
        <v>10</v>
      </c>
      <c r="C2" s="13"/>
      <c r="D2" s="70">
        <v>3853.55</v>
      </c>
      <c r="E2" s="17">
        <f t="shared" ref="E2:E24" si="0">F2-D2</f>
        <v>102.65999999999985</v>
      </c>
      <c r="F2" s="28">
        <v>3956.21</v>
      </c>
      <c r="G2" s="82">
        <f t="shared" ref="G2:G24" si="1">E2/D2</f>
        <v>2.6640370567398854E-2</v>
      </c>
      <c r="H2" s="5">
        <f>D2*L2</f>
        <v>188.05324000000002</v>
      </c>
      <c r="I2" s="7">
        <f>D2*J2</f>
        <v>154.14200000000002</v>
      </c>
      <c r="J2" s="309">
        <v>0.04</v>
      </c>
      <c r="K2" s="310"/>
      <c r="L2" s="331">
        <f>K5+K6</f>
        <v>4.8800000000000003E-2</v>
      </c>
      <c r="M2" s="3"/>
      <c r="N2" s="3"/>
    </row>
    <row r="3" spans="1:14" ht="23.5" customHeight="1" thickBot="1">
      <c r="A3" s="32">
        <v>45726</v>
      </c>
      <c r="B3" s="10"/>
      <c r="C3" s="65"/>
      <c r="D3" s="18">
        <f>F2</f>
        <v>3956.21</v>
      </c>
      <c r="E3" s="17">
        <f t="shared" si="0"/>
        <v>0</v>
      </c>
      <c r="F3" s="28">
        <v>3956.21</v>
      </c>
      <c r="G3" s="82">
        <f t="shared" si="1"/>
        <v>0</v>
      </c>
      <c r="H3" s="5">
        <f>D3*L2</f>
        <v>193.06304800000001</v>
      </c>
      <c r="I3" s="7">
        <f>D3*J2</f>
        <v>158.2484</v>
      </c>
      <c r="J3" s="311"/>
      <c r="K3" s="312"/>
      <c r="L3" s="332"/>
      <c r="M3" s="3"/>
      <c r="N3" s="3"/>
    </row>
    <row r="4" spans="1:14" ht="20" thickBot="1">
      <c r="A4" s="32">
        <v>45727</v>
      </c>
      <c r="B4" s="10"/>
      <c r="C4" s="65"/>
      <c r="D4" s="18">
        <f>F3</f>
        <v>3956.21</v>
      </c>
      <c r="E4" s="17">
        <f t="shared" si="0"/>
        <v>0</v>
      </c>
      <c r="F4" s="28">
        <v>3956.21</v>
      </c>
      <c r="G4" s="82">
        <f t="shared" si="1"/>
        <v>0</v>
      </c>
      <c r="H4" s="5">
        <f>D4*L2</f>
        <v>193.06304800000001</v>
      </c>
      <c r="I4" s="7">
        <f>D4*J2</f>
        <v>158.2484</v>
      </c>
      <c r="J4" s="316" t="s">
        <v>11</v>
      </c>
      <c r="K4" s="317"/>
      <c r="L4" s="317"/>
      <c r="M4" s="72" t="s">
        <v>12</v>
      </c>
      <c r="N4" s="72" t="s">
        <v>27</v>
      </c>
    </row>
    <row r="5" spans="1:14" ht="20" thickBot="1">
      <c r="A5" s="32">
        <v>45728</v>
      </c>
      <c r="B5" s="10"/>
      <c r="C5" s="65"/>
      <c r="D5" s="18">
        <f t="shared" ref="D5:D24" si="2">F4</f>
        <v>3956.21</v>
      </c>
      <c r="E5" s="17">
        <f t="shared" si="0"/>
        <v>0</v>
      </c>
      <c r="F5" s="28">
        <v>3956.21</v>
      </c>
      <c r="G5" s="82">
        <f t="shared" si="1"/>
        <v>0</v>
      </c>
      <c r="H5" s="5">
        <f>D5*L2</f>
        <v>193.06304800000001</v>
      </c>
      <c r="I5" s="7">
        <f>D5*J2</f>
        <v>158.2484</v>
      </c>
      <c r="J5" s="37">
        <v>1</v>
      </c>
      <c r="K5" s="77">
        <v>1.55E-2</v>
      </c>
      <c r="L5" s="38">
        <f>D22*0.0155</f>
        <v>71.371610000000004</v>
      </c>
      <c r="M5" s="75">
        <f>L5*0.87</f>
        <v>62.0933007</v>
      </c>
      <c r="N5" s="76">
        <f>I22/M5</f>
        <v>2.9662588060808304</v>
      </c>
    </row>
    <row r="6" spans="1:14" ht="20" thickBot="1">
      <c r="A6" s="32">
        <v>45729</v>
      </c>
      <c r="B6" s="12"/>
      <c r="C6" s="13" t="s">
        <v>9</v>
      </c>
      <c r="D6" s="18">
        <f t="shared" si="2"/>
        <v>3956.21</v>
      </c>
      <c r="E6" s="17">
        <f t="shared" si="0"/>
        <v>-138.92999999999984</v>
      </c>
      <c r="F6" s="28">
        <v>3817.28</v>
      </c>
      <c r="G6" s="31">
        <f t="shared" si="1"/>
        <v>-3.5116942730542576E-2</v>
      </c>
      <c r="H6" s="5">
        <f>D6*L2</f>
        <v>193.06304800000001</v>
      </c>
      <c r="I6" s="46">
        <f>D6*J2</f>
        <v>158.2484</v>
      </c>
      <c r="J6" s="37" t="s">
        <v>20</v>
      </c>
      <c r="K6" s="77">
        <v>3.3300000000000003E-2</v>
      </c>
      <c r="L6" s="38">
        <f>D22*0.0333</f>
        <v>153.33384600000002</v>
      </c>
      <c r="M6" s="75">
        <f>L6*0.87</f>
        <v>133.40044602000003</v>
      </c>
      <c r="N6" s="76">
        <f>I22/(M6-L5)</f>
        <v>2.9693415485116161</v>
      </c>
    </row>
    <row r="7" spans="1:14" ht="20" thickBot="1">
      <c r="A7" s="32">
        <v>45730</v>
      </c>
      <c r="B7" s="12" t="s">
        <v>10</v>
      </c>
      <c r="C7" s="13"/>
      <c r="D7" s="18">
        <f t="shared" si="2"/>
        <v>3817.28</v>
      </c>
      <c r="E7" s="17">
        <f t="shared" si="0"/>
        <v>118.55999999999995</v>
      </c>
      <c r="F7" s="28">
        <v>3935.84</v>
      </c>
      <c r="G7" s="31">
        <f t="shared" si="1"/>
        <v>3.1058764355771633E-2</v>
      </c>
      <c r="H7" s="5">
        <f>D7*L2</f>
        <v>186.28326400000003</v>
      </c>
      <c r="I7" s="48">
        <f>D7*J2</f>
        <v>152.69120000000001</v>
      </c>
      <c r="J7" s="73" t="s">
        <v>26</v>
      </c>
      <c r="K7" s="78">
        <v>7.1499999999999994E-2</v>
      </c>
      <c r="L7" s="38">
        <f>D22*0.0715</f>
        <v>329.23032999999998</v>
      </c>
      <c r="M7" s="75">
        <f>L7*0.87</f>
        <v>286.43038709999996</v>
      </c>
      <c r="N7" s="76" t="s">
        <v>24</v>
      </c>
    </row>
    <row r="8" spans="1:14" ht="20" thickBot="1">
      <c r="A8" s="32">
        <v>45731</v>
      </c>
      <c r="B8" s="10"/>
      <c r="C8" s="65"/>
      <c r="D8" s="18">
        <f t="shared" si="2"/>
        <v>3935.84</v>
      </c>
      <c r="E8" s="17">
        <f t="shared" si="0"/>
        <v>0</v>
      </c>
      <c r="F8" s="28">
        <v>3935.84</v>
      </c>
      <c r="G8" s="31">
        <f t="shared" si="1"/>
        <v>0</v>
      </c>
      <c r="H8" s="5">
        <f>D8*L2</f>
        <v>192.06899200000001</v>
      </c>
      <c r="I8" s="47">
        <f>D8*J2</f>
        <v>157.43360000000001</v>
      </c>
      <c r="J8" s="73"/>
      <c r="K8" s="78">
        <f>SUM(K5:K7)</f>
        <v>0.12029999999999999</v>
      </c>
      <c r="L8" s="74">
        <f>SUM(L5:L7)</f>
        <v>553.93578600000001</v>
      </c>
      <c r="N8" s="1"/>
    </row>
    <row r="9" spans="1:14" ht="23.5" customHeight="1" thickBot="1">
      <c r="A9" s="32">
        <v>45732</v>
      </c>
      <c r="B9" s="12" t="s">
        <v>10</v>
      </c>
      <c r="C9" s="13"/>
      <c r="D9" s="18">
        <f>F8</f>
        <v>3935.84</v>
      </c>
      <c r="E9" s="17">
        <f t="shared" si="0"/>
        <v>148.05999999999995</v>
      </c>
      <c r="F9" s="28">
        <v>4083.9</v>
      </c>
      <c r="G9" s="31">
        <f t="shared" si="1"/>
        <v>3.7618399121915509E-2</v>
      </c>
      <c r="H9" s="5">
        <f>D9*L2</f>
        <v>192.06899200000001</v>
      </c>
      <c r="I9" s="7">
        <f>D9*J2</f>
        <v>157.43360000000001</v>
      </c>
      <c r="J9" s="333" t="s">
        <v>4</v>
      </c>
      <c r="K9" s="334"/>
      <c r="L9" s="335"/>
      <c r="N9" s="1"/>
    </row>
    <row r="10" spans="1:14" ht="16" thickBot="1">
      <c r="A10" s="32">
        <v>45733</v>
      </c>
      <c r="B10" s="12" t="s">
        <v>10</v>
      </c>
      <c r="C10" s="13"/>
      <c r="D10" s="18">
        <f>F9</f>
        <v>4083.9</v>
      </c>
      <c r="E10" s="17">
        <f t="shared" si="0"/>
        <v>148.76999999999998</v>
      </c>
      <c r="F10" s="28">
        <v>4232.67</v>
      </c>
      <c r="G10" s="31">
        <f t="shared" si="1"/>
        <v>3.6428414016014099E-2</v>
      </c>
      <c r="H10" s="5">
        <f>D10*L2</f>
        <v>199.29432000000003</v>
      </c>
      <c r="I10" s="7">
        <f>D10*J2</f>
        <v>163.35599999999999</v>
      </c>
      <c r="J10" s="321">
        <v>1000</v>
      </c>
      <c r="K10" s="322"/>
      <c r="L10" s="322"/>
      <c r="M10" s="1"/>
      <c r="N10" s="1"/>
    </row>
    <row r="11" spans="1:14" ht="16" thickBot="1">
      <c r="A11" s="32">
        <v>45734</v>
      </c>
      <c r="B11" s="12" t="s">
        <v>10</v>
      </c>
      <c r="C11" s="13"/>
      <c r="D11" s="18">
        <f t="shared" si="2"/>
        <v>4232.67</v>
      </c>
      <c r="E11" s="17">
        <f t="shared" si="0"/>
        <v>137.64999999999964</v>
      </c>
      <c r="F11" s="28">
        <v>4370.32</v>
      </c>
      <c r="G11" s="31">
        <f t="shared" si="1"/>
        <v>3.2520843817259469E-2</v>
      </c>
      <c r="H11" s="5">
        <f>D11*L2</f>
        <v>206.55429600000002</v>
      </c>
      <c r="I11" s="7">
        <f>D11*J2</f>
        <v>169.30680000000001</v>
      </c>
      <c r="J11" s="322"/>
      <c r="K11" s="322"/>
      <c r="L11" s="322"/>
      <c r="M11" s="1"/>
      <c r="N11" s="1"/>
    </row>
    <row r="12" spans="1:14" ht="16" thickBot="1">
      <c r="A12" s="32">
        <v>45735</v>
      </c>
      <c r="B12" s="10"/>
      <c r="C12" s="65"/>
      <c r="D12" s="18">
        <f t="shared" si="2"/>
        <v>4370.32</v>
      </c>
      <c r="E12" s="17">
        <f t="shared" si="0"/>
        <v>0</v>
      </c>
      <c r="F12" s="28">
        <v>4370.32</v>
      </c>
      <c r="G12" s="31">
        <f t="shared" si="1"/>
        <v>0</v>
      </c>
      <c r="H12" s="5">
        <f>D12*L2</f>
        <v>213.27161599999999</v>
      </c>
      <c r="I12" s="7">
        <f>D12*J2</f>
        <v>174.81279999999998</v>
      </c>
      <c r="J12" s="318" t="s">
        <v>6</v>
      </c>
      <c r="K12" s="323"/>
      <c r="L12" s="323"/>
      <c r="M12" s="1"/>
      <c r="N12" s="1"/>
    </row>
    <row r="13" spans="1:14" ht="16" thickBot="1">
      <c r="A13" s="32">
        <v>45736</v>
      </c>
      <c r="B13" s="12"/>
      <c r="C13" s="13" t="s">
        <v>9</v>
      </c>
      <c r="D13" s="18">
        <f t="shared" si="2"/>
        <v>4370.32</v>
      </c>
      <c r="E13" s="17">
        <f t="shared" si="0"/>
        <v>-213</v>
      </c>
      <c r="F13" s="28">
        <v>4157.32</v>
      </c>
      <c r="G13" s="31">
        <f t="shared" si="1"/>
        <v>-4.8737849859964488E-2</v>
      </c>
      <c r="H13" s="5">
        <f>D13*L2</f>
        <v>213.27161599999999</v>
      </c>
      <c r="I13" s="7">
        <f>D13*J2</f>
        <v>174.81279999999998</v>
      </c>
      <c r="J13" s="323"/>
      <c r="K13" s="323"/>
      <c r="L13" s="323"/>
      <c r="M13" s="1"/>
      <c r="N13" s="1"/>
    </row>
    <row r="14" spans="1:14" ht="16" thickBot="1">
      <c r="A14" s="32">
        <v>45737</v>
      </c>
      <c r="B14" s="12" t="s">
        <v>10</v>
      </c>
      <c r="C14" s="13"/>
      <c r="D14" s="18">
        <f t="shared" si="2"/>
        <v>4157.32</v>
      </c>
      <c r="E14" s="17">
        <f t="shared" si="0"/>
        <v>111.59000000000015</v>
      </c>
      <c r="F14" s="28">
        <v>4268.91</v>
      </c>
      <c r="G14" s="31">
        <f t="shared" si="1"/>
        <v>2.6841811551672749E-2</v>
      </c>
      <c r="H14" s="5">
        <f>D14*L2</f>
        <v>202.877216</v>
      </c>
      <c r="I14" s="7">
        <f>D14*J2</f>
        <v>166.2928</v>
      </c>
      <c r="J14" s="324">
        <f>SUM(E2:E24)</f>
        <v>538.06999999999971</v>
      </c>
      <c r="K14" s="325"/>
      <c r="L14" s="325"/>
      <c r="M14" s="1"/>
      <c r="N14" s="1"/>
    </row>
    <row r="15" spans="1:14" ht="16" thickBot="1">
      <c r="A15" s="32">
        <v>45738</v>
      </c>
      <c r="B15" s="12" t="s">
        <v>10</v>
      </c>
      <c r="C15" s="13"/>
      <c r="D15" s="18">
        <f t="shared" si="2"/>
        <v>4268.91</v>
      </c>
      <c r="E15" s="17">
        <f t="shared" si="0"/>
        <v>50.909999999999854</v>
      </c>
      <c r="F15" s="28">
        <v>4319.82</v>
      </c>
      <c r="G15" s="31">
        <f t="shared" si="1"/>
        <v>1.1925760908522282E-2</v>
      </c>
      <c r="H15" s="5">
        <f>D15*L2</f>
        <v>208.32280800000001</v>
      </c>
      <c r="I15" s="7">
        <f>D15*J2</f>
        <v>170.75639999999999</v>
      </c>
      <c r="J15" s="326"/>
      <c r="K15" s="326"/>
      <c r="L15" s="326"/>
      <c r="M15" s="1"/>
      <c r="N15" s="1"/>
    </row>
    <row r="16" spans="1:14" ht="16" thickBot="1">
      <c r="A16" s="32">
        <v>45739</v>
      </c>
      <c r="B16" s="10"/>
      <c r="C16" s="65"/>
      <c r="D16" s="18">
        <f>F15</f>
        <v>4319.82</v>
      </c>
      <c r="E16" s="17">
        <f t="shared" si="0"/>
        <v>0</v>
      </c>
      <c r="F16" s="28">
        <v>4319.82</v>
      </c>
      <c r="G16" s="31">
        <f t="shared" si="1"/>
        <v>0</v>
      </c>
      <c r="H16" s="5">
        <f>D16*L2</f>
        <v>210.80721600000001</v>
      </c>
      <c r="I16" s="7">
        <f>D16*J2</f>
        <v>172.7928</v>
      </c>
      <c r="J16" s="303"/>
      <c r="K16" s="304"/>
      <c r="L16" s="304"/>
      <c r="M16" s="1"/>
      <c r="N16" s="1"/>
    </row>
    <row r="17" spans="1:14" ht="16" thickBot="1">
      <c r="A17" s="32">
        <v>45740</v>
      </c>
      <c r="B17" s="12" t="s">
        <v>10</v>
      </c>
      <c r="C17" s="13"/>
      <c r="D17" s="18">
        <f>F16</f>
        <v>4319.82</v>
      </c>
      <c r="E17" s="17">
        <f t="shared" si="0"/>
        <v>146.89000000000033</v>
      </c>
      <c r="F17" s="28">
        <v>4466.71</v>
      </c>
      <c r="G17" s="31">
        <f t="shared" si="1"/>
        <v>3.4003731636966433E-2</v>
      </c>
      <c r="H17" s="5">
        <f>D17*L2</f>
        <v>210.80721600000001</v>
      </c>
      <c r="I17" s="7">
        <f>D17*J2</f>
        <v>172.7928</v>
      </c>
      <c r="J17" s="303"/>
      <c r="K17" s="304"/>
      <c r="L17" s="304"/>
      <c r="M17" s="1"/>
      <c r="N17" s="1"/>
    </row>
    <row r="18" spans="1:14" ht="16" thickBot="1">
      <c r="A18" s="32">
        <v>45741</v>
      </c>
      <c r="B18" s="10"/>
      <c r="C18" s="65"/>
      <c r="D18" s="18">
        <f t="shared" si="2"/>
        <v>4466.71</v>
      </c>
      <c r="E18" s="17">
        <f t="shared" si="0"/>
        <v>0</v>
      </c>
      <c r="F18" s="28">
        <v>4466.71</v>
      </c>
      <c r="G18" s="31">
        <f t="shared" si="1"/>
        <v>0</v>
      </c>
      <c r="H18" s="5">
        <f>D18*L2</f>
        <v>217.97544800000003</v>
      </c>
      <c r="I18" s="8">
        <f>D18*J2</f>
        <v>178.66839999999999</v>
      </c>
      <c r="J18" s="303"/>
      <c r="K18" s="304"/>
      <c r="L18" s="304"/>
      <c r="M18" s="1"/>
      <c r="N18" s="1"/>
    </row>
    <row r="19" spans="1:14" ht="16" thickBot="1">
      <c r="A19" s="32">
        <v>45742</v>
      </c>
      <c r="B19" s="12" t="s">
        <v>10</v>
      </c>
      <c r="C19" s="13"/>
      <c r="D19" s="18">
        <f t="shared" si="2"/>
        <v>4466.71</v>
      </c>
      <c r="E19" s="17">
        <f t="shared" si="0"/>
        <v>60.0600000000004</v>
      </c>
      <c r="F19" s="28">
        <v>4526.7700000000004</v>
      </c>
      <c r="G19" s="31">
        <f t="shared" si="1"/>
        <v>1.3446138209107016E-2</v>
      </c>
      <c r="H19" s="5">
        <f>D19*L2</f>
        <v>217.97544800000003</v>
      </c>
      <c r="I19" s="8">
        <f>D19*J2</f>
        <v>178.66839999999999</v>
      </c>
      <c r="J19" s="303"/>
      <c r="K19" s="304"/>
      <c r="L19" s="304"/>
      <c r="M19" s="1"/>
      <c r="N19" s="1"/>
    </row>
    <row r="20" spans="1:14" ht="16" thickBot="1">
      <c r="A20" s="32">
        <v>45743</v>
      </c>
      <c r="B20" s="12" t="s">
        <v>10</v>
      </c>
      <c r="C20" s="13"/>
      <c r="D20" s="18">
        <f t="shared" si="2"/>
        <v>4526.7700000000004</v>
      </c>
      <c r="E20" s="17">
        <f t="shared" si="0"/>
        <v>159.20999999999913</v>
      </c>
      <c r="F20" s="28">
        <v>4685.9799999999996</v>
      </c>
      <c r="G20" s="31">
        <f t="shared" si="1"/>
        <v>3.517077297940896E-2</v>
      </c>
      <c r="H20" s="5">
        <f>D20*L2</f>
        <v>220.90637600000002</v>
      </c>
      <c r="I20" s="8">
        <f>D20*J2</f>
        <v>181.07080000000002</v>
      </c>
      <c r="J20" s="1"/>
      <c r="K20" s="35"/>
      <c r="L20" s="1"/>
      <c r="M20" s="1"/>
      <c r="N20" s="1"/>
    </row>
    <row r="21" spans="1:14" ht="16" thickBot="1">
      <c r="A21" s="32">
        <v>45744</v>
      </c>
      <c r="B21" s="12"/>
      <c r="C21" s="13" t="s">
        <v>9</v>
      </c>
      <c r="D21" s="18">
        <f t="shared" si="2"/>
        <v>4685.9799999999996</v>
      </c>
      <c r="E21" s="17">
        <f t="shared" si="0"/>
        <v>-81.359999999999673</v>
      </c>
      <c r="F21" s="28">
        <v>4604.62</v>
      </c>
      <c r="G21" s="31">
        <f t="shared" si="1"/>
        <v>-1.7362430057319852E-2</v>
      </c>
      <c r="H21" s="5">
        <f>D21*L2</f>
        <v>228.67582400000001</v>
      </c>
      <c r="I21" s="8">
        <f>D21*J2</f>
        <v>187.4392</v>
      </c>
      <c r="J21" s="1"/>
      <c r="K21" s="1"/>
      <c r="L21" s="1"/>
      <c r="M21" s="1"/>
      <c r="N21" s="1"/>
    </row>
    <row r="22" spans="1:14" ht="16" thickBot="1">
      <c r="A22" s="32">
        <v>45745</v>
      </c>
      <c r="B22" s="12"/>
      <c r="C22" s="13" t="s">
        <v>9</v>
      </c>
      <c r="D22" s="18">
        <f t="shared" si="2"/>
        <v>4604.62</v>
      </c>
      <c r="E22" s="17">
        <f t="shared" si="0"/>
        <v>-213</v>
      </c>
      <c r="F22" s="28">
        <v>4391.62</v>
      </c>
      <c r="G22" s="31">
        <f t="shared" si="1"/>
        <v>-4.6257888816015218E-2</v>
      </c>
      <c r="H22" s="5">
        <f>D22*L2</f>
        <v>224.705456</v>
      </c>
      <c r="I22" s="8">
        <f>D22*J2</f>
        <v>184.1848</v>
      </c>
      <c r="J22" s="1"/>
      <c r="K22" s="1"/>
      <c r="M22" s="1"/>
      <c r="N22" s="1"/>
    </row>
    <row r="23" spans="1:14" ht="16" thickBot="1">
      <c r="A23" s="32">
        <v>45746</v>
      </c>
      <c r="B23" s="10"/>
      <c r="C23" s="65"/>
      <c r="D23" s="18">
        <f t="shared" si="2"/>
        <v>4391.62</v>
      </c>
      <c r="E23" s="17">
        <f t="shared" si="0"/>
        <v>0</v>
      </c>
      <c r="F23" s="28">
        <v>4391.62</v>
      </c>
      <c r="G23" s="31">
        <f t="shared" si="1"/>
        <v>0</v>
      </c>
      <c r="H23" s="5">
        <f>D23*L3</f>
        <v>0</v>
      </c>
      <c r="I23" s="8">
        <f>D23*J2</f>
        <v>175.66479999999999</v>
      </c>
      <c r="J23" s="1"/>
      <c r="K23" s="1"/>
      <c r="M23" s="1"/>
      <c r="N23" s="1"/>
    </row>
    <row r="24" spans="1:14" ht="16" thickBot="1">
      <c r="A24" s="32">
        <v>45747</v>
      </c>
      <c r="B24" s="10"/>
      <c r="C24" s="65"/>
      <c r="D24" s="18">
        <f t="shared" si="2"/>
        <v>4391.62</v>
      </c>
      <c r="E24" s="17">
        <f t="shared" si="0"/>
        <v>0</v>
      </c>
      <c r="F24" s="28">
        <v>4391.62</v>
      </c>
      <c r="G24" s="31">
        <f t="shared" si="1"/>
        <v>0</v>
      </c>
      <c r="H24" s="5">
        <f>D24*L2</f>
        <v>214.31105600000001</v>
      </c>
      <c r="I24" s="8">
        <f>D24*J2</f>
        <v>175.66479999999999</v>
      </c>
      <c r="J24" s="1"/>
      <c r="K24" s="1"/>
      <c r="L24" s="1"/>
      <c r="M24" s="1"/>
      <c r="N24" s="1"/>
    </row>
    <row r="25" spans="1:14" ht="16" thickBot="1">
      <c r="A25" s="79" t="s">
        <v>23</v>
      </c>
      <c r="B25" s="15">
        <f>COUNTA(B2:B24)</f>
        <v>10</v>
      </c>
      <c r="C25" s="16">
        <f>COUNTA(C2:C24)</f>
        <v>4</v>
      </c>
      <c r="D25" s="6"/>
      <c r="E25" s="6"/>
      <c r="F25" s="41" t="s">
        <v>19</v>
      </c>
      <c r="G25" s="42">
        <f>SUM(G3:G24)/SUM(B25,C25)</f>
        <v>7.9671089380568584E-3</v>
      </c>
      <c r="H25" s="6"/>
      <c r="I25" s="6"/>
      <c r="J25" s="3"/>
      <c r="K25" s="3"/>
      <c r="L25" s="3"/>
      <c r="M25" s="3"/>
      <c r="N25" s="3"/>
    </row>
    <row r="26" spans="1:14">
      <c r="A26" s="2"/>
      <c r="B26" s="2"/>
      <c r="C26" s="2"/>
      <c r="D26" s="3"/>
      <c r="E26" s="3"/>
      <c r="F26" s="41" t="s">
        <v>30</v>
      </c>
      <c r="G26" s="87">
        <f>SUM(G2:G24)</f>
        <v>0.13817989570019484</v>
      </c>
      <c r="H26" s="3"/>
      <c r="I26" s="3"/>
      <c r="J26" s="3"/>
      <c r="K26" s="3"/>
      <c r="L26" s="3"/>
      <c r="M26" s="3"/>
      <c r="N26" s="3"/>
    </row>
    <row r="27" spans="1:14">
      <c r="A27" s="84"/>
      <c r="B27" s="86" t="s">
        <v>28</v>
      </c>
      <c r="C27" s="2"/>
      <c r="D27" s="3"/>
      <c r="E27" s="3"/>
      <c r="G27" s="4"/>
      <c r="H27" s="3"/>
      <c r="I27" s="3"/>
      <c r="J27" s="3"/>
      <c r="K27" s="3"/>
      <c r="L27" s="3"/>
      <c r="M27" s="3"/>
      <c r="N27" s="3"/>
    </row>
    <row r="28" spans="1:14">
      <c r="A28" s="85"/>
      <c r="B28" s="86" t="s">
        <v>29</v>
      </c>
      <c r="C28" s="2"/>
      <c r="D28" s="3"/>
      <c r="E28" s="3"/>
      <c r="G28" s="4"/>
      <c r="H28" s="3"/>
      <c r="I28" s="3"/>
      <c r="J28" s="3"/>
      <c r="K28" s="3"/>
      <c r="L28" s="3"/>
      <c r="M28" s="3"/>
      <c r="N28" s="3"/>
    </row>
  </sheetData>
  <mergeCells count="10">
    <mergeCell ref="J12:L13"/>
    <mergeCell ref="J14:L15"/>
    <mergeCell ref="J16:L17"/>
    <mergeCell ref="J18:L19"/>
    <mergeCell ref="J1:K1"/>
    <mergeCell ref="J2:K3"/>
    <mergeCell ref="L2:L3"/>
    <mergeCell ref="J4:L4"/>
    <mergeCell ref="J9:L9"/>
    <mergeCell ref="J10:L11"/>
  </mergeCells>
  <conditionalFormatting sqref="G2:G24">
    <cfRule type="colorScale" priority="1">
      <colorScale>
        <cfvo type="formula" val="0"/>
        <cfvo type="formula" val="0"/>
        <color rgb="FFFF0000"/>
        <color rgb="FF00B05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0CF5-D6F0-4808-8173-F8D09D679288}">
  <dimension ref="A1:Y41"/>
  <sheetViews>
    <sheetView showGridLines="0" zoomScale="71" workbookViewId="0">
      <selection activeCell="L2" sqref="L2:L32"/>
    </sheetView>
  </sheetViews>
  <sheetFormatPr baseColWidth="10" defaultColWidth="8.83203125" defaultRowHeight="15"/>
  <cols>
    <col min="4" max="4" width="11.5" bestFit="1" customWidth="1"/>
    <col min="5" max="5" width="14.5" bestFit="1" customWidth="1"/>
    <col min="6" max="6" width="11.83203125" customWidth="1"/>
    <col min="7" max="8" width="12.1640625" customWidth="1"/>
    <col min="9" max="9" width="13.33203125" bestFit="1" customWidth="1"/>
    <col min="10" max="10" width="13.1640625" customWidth="1"/>
    <col min="11" max="11" width="15.5" bestFit="1" customWidth="1"/>
    <col min="12" max="12" width="15.5" customWidth="1"/>
    <col min="13" max="13" width="9.83203125" bestFit="1" customWidth="1"/>
    <col min="14" max="14" width="9.1640625" bestFit="1" customWidth="1"/>
    <col min="15" max="15" width="12.5" bestFit="1" customWidth="1"/>
    <col min="16" max="16" width="10.33203125" bestFit="1" customWidth="1"/>
    <col min="17" max="17" width="10.6640625" bestFit="1" customWidth="1"/>
    <col min="18" max="18" width="13.1640625" bestFit="1" customWidth="1"/>
    <col min="19" max="19" width="10.6640625" customWidth="1"/>
    <col min="20" max="20" width="10.1640625" bestFit="1" customWidth="1"/>
    <col min="21" max="21" width="10.1640625" customWidth="1"/>
    <col min="22" max="22" width="10.5" bestFit="1" customWidth="1"/>
    <col min="23" max="23" width="14.5" bestFit="1" customWidth="1"/>
    <col min="24" max="24" width="14.1640625" bestFit="1" customWidth="1"/>
    <col min="25" max="25" width="11.83203125" bestFit="1" customWidth="1"/>
  </cols>
  <sheetData>
    <row r="1" spans="1:25" ht="17" thickBot="1">
      <c r="A1" s="104" t="s">
        <v>0</v>
      </c>
      <c r="B1" s="105" t="s">
        <v>1</v>
      </c>
      <c r="C1" s="106" t="s">
        <v>2</v>
      </c>
      <c r="D1" s="107" t="s">
        <v>32</v>
      </c>
      <c r="E1" s="103" t="s">
        <v>13</v>
      </c>
      <c r="F1" s="103" t="s">
        <v>35</v>
      </c>
      <c r="G1" s="103" t="s">
        <v>31</v>
      </c>
      <c r="H1" s="115" t="s">
        <v>45</v>
      </c>
      <c r="I1" s="23" t="s">
        <v>36</v>
      </c>
      <c r="J1" s="23" t="s">
        <v>33</v>
      </c>
      <c r="K1" s="24" t="s">
        <v>39</v>
      </c>
      <c r="L1" s="122" t="s">
        <v>16</v>
      </c>
      <c r="M1" s="123" t="s">
        <v>3</v>
      </c>
      <c r="N1" s="122" t="s">
        <v>4</v>
      </c>
      <c r="O1" s="25" t="s">
        <v>37</v>
      </c>
      <c r="P1" s="26" t="s">
        <v>3</v>
      </c>
      <c r="Q1" s="125" t="s">
        <v>4</v>
      </c>
      <c r="R1" s="119" t="s">
        <v>38</v>
      </c>
      <c r="S1" s="98" t="s">
        <v>3</v>
      </c>
      <c r="T1" s="97" t="s">
        <v>34</v>
      </c>
      <c r="U1" s="342" t="s">
        <v>17</v>
      </c>
      <c r="V1" s="308"/>
      <c r="W1" s="33" t="s">
        <v>5</v>
      </c>
    </row>
    <row r="2" spans="1:25" ht="16" thickBot="1">
      <c r="A2" s="92">
        <v>45747</v>
      </c>
      <c r="B2" s="12" t="s">
        <v>10</v>
      </c>
      <c r="C2" s="13"/>
      <c r="D2" s="99"/>
      <c r="E2" s="88">
        <v>223.89</v>
      </c>
      <c r="F2" s="93">
        <v>223.89</v>
      </c>
      <c r="G2" s="117">
        <v>0</v>
      </c>
      <c r="H2" s="118">
        <f>K2-F2</f>
        <v>9.5600000000000023</v>
      </c>
      <c r="I2" s="94">
        <f>K2-F2</f>
        <v>9.5600000000000023</v>
      </c>
      <c r="J2" s="94">
        <v>0</v>
      </c>
      <c r="K2" s="90">
        <v>233.45</v>
      </c>
      <c r="L2" s="127">
        <f t="shared" ref="L2:L5" si="0">H2/E2</f>
        <v>4.2699539952655331E-2</v>
      </c>
      <c r="M2" s="124" t="s">
        <v>46</v>
      </c>
      <c r="N2" s="126" t="s">
        <v>46</v>
      </c>
      <c r="O2" s="82">
        <f>I2/F2</f>
        <v>4.2699539952655331E-2</v>
      </c>
      <c r="P2" s="131">
        <f>E2*W2</f>
        <v>25.859294999999999</v>
      </c>
      <c r="Q2" s="132">
        <f>E2*U2</f>
        <v>8.9556000000000004</v>
      </c>
      <c r="R2" s="120" t="s">
        <v>46</v>
      </c>
      <c r="S2" s="136" t="s">
        <v>46</v>
      </c>
      <c r="T2" s="137" t="s">
        <v>46</v>
      </c>
      <c r="U2" s="343">
        <v>0.04</v>
      </c>
      <c r="V2" s="310"/>
      <c r="W2" s="331">
        <f>V5+V6+V7</f>
        <v>0.11550000000000001</v>
      </c>
    </row>
    <row r="3" spans="1:25" ht="16" thickBot="1">
      <c r="A3" s="91">
        <v>45748</v>
      </c>
      <c r="B3" s="12"/>
      <c r="C3" s="13" t="s">
        <v>9</v>
      </c>
      <c r="D3" s="101"/>
      <c r="E3" s="89">
        <f>K2+D3</f>
        <v>233.45</v>
      </c>
      <c r="F3" s="94">
        <f>E3-G3</f>
        <v>233.45</v>
      </c>
      <c r="G3" s="94">
        <v>0</v>
      </c>
      <c r="H3" s="93">
        <f t="shared" ref="H3:H5" si="1">K3-F3</f>
        <v>-2.8799999999999955</v>
      </c>
      <c r="I3" s="94">
        <f>K3-F3</f>
        <v>-2.8799999999999955</v>
      </c>
      <c r="J3" s="94">
        <v>0</v>
      </c>
      <c r="K3" s="90">
        <v>230.57</v>
      </c>
      <c r="L3" s="127">
        <f t="shared" si="0"/>
        <v>-1.2336688798457895E-2</v>
      </c>
      <c r="M3" s="124" t="s">
        <v>46</v>
      </c>
      <c r="N3" s="126" t="s">
        <v>46</v>
      </c>
      <c r="O3" s="82">
        <f>I3/E3</f>
        <v>-1.2336688798457895E-2</v>
      </c>
      <c r="P3" s="131">
        <f>E3*W2</f>
        <v>26.963474999999999</v>
      </c>
      <c r="Q3" s="132">
        <f>E3*U2</f>
        <v>9.3379999999999992</v>
      </c>
      <c r="R3" s="120" t="s">
        <v>46</v>
      </c>
      <c r="S3" s="136" t="s">
        <v>46</v>
      </c>
      <c r="T3" s="137" t="s">
        <v>46</v>
      </c>
      <c r="U3" s="344"/>
      <c r="V3" s="312"/>
      <c r="W3" s="332"/>
    </row>
    <row r="4" spans="1:25" ht="20" thickBot="1">
      <c r="A4" s="91">
        <v>45749</v>
      </c>
      <c r="B4" s="68"/>
      <c r="C4" s="69"/>
      <c r="D4" s="100"/>
      <c r="E4" s="89">
        <f>K3</f>
        <v>230.57</v>
      </c>
      <c r="F4" s="94">
        <f>E4-G4</f>
        <v>230.57</v>
      </c>
      <c r="G4" s="94">
        <v>0</v>
      </c>
      <c r="H4" s="93">
        <f t="shared" si="1"/>
        <v>0</v>
      </c>
      <c r="I4" s="94">
        <f>K4-F4</f>
        <v>0</v>
      </c>
      <c r="J4" s="94">
        <v>0</v>
      </c>
      <c r="K4" s="90">
        <v>230.57</v>
      </c>
      <c r="L4" s="127">
        <f t="shared" si="0"/>
        <v>0</v>
      </c>
      <c r="M4" s="124" t="s">
        <v>46</v>
      </c>
      <c r="N4" s="126" t="s">
        <v>46</v>
      </c>
      <c r="O4" s="82">
        <f>I4/E4</f>
        <v>0</v>
      </c>
      <c r="P4" s="131">
        <f>E4*W2</f>
        <v>26.630835000000001</v>
      </c>
      <c r="Q4" s="132">
        <f>E4*U2</f>
        <v>9.2227999999999994</v>
      </c>
      <c r="R4" s="120" t="s">
        <v>46</v>
      </c>
      <c r="S4" s="136" t="s">
        <v>46</v>
      </c>
      <c r="T4" s="137" t="s">
        <v>46</v>
      </c>
      <c r="U4" s="345" t="s">
        <v>11</v>
      </c>
      <c r="V4" s="317"/>
      <c r="W4" s="317"/>
      <c r="X4" s="108" t="s">
        <v>12</v>
      </c>
      <c r="Y4" s="109" t="s">
        <v>40</v>
      </c>
    </row>
    <row r="5" spans="1:25" ht="20" thickBot="1">
      <c r="A5" s="91">
        <v>45750</v>
      </c>
      <c r="B5" s="12" t="s">
        <v>10</v>
      </c>
      <c r="C5" s="13"/>
      <c r="D5" s="100"/>
      <c r="E5" s="89">
        <f>K4</f>
        <v>230.57</v>
      </c>
      <c r="F5" s="94">
        <f>E5-G5</f>
        <v>230.57</v>
      </c>
      <c r="G5" s="94">
        <v>0</v>
      </c>
      <c r="H5" s="93">
        <f t="shared" si="1"/>
        <v>9</v>
      </c>
      <c r="I5" s="94">
        <f>K5-F5</f>
        <v>9</v>
      </c>
      <c r="J5" s="94">
        <v>0</v>
      </c>
      <c r="K5" s="90">
        <v>239.57</v>
      </c>
      <c r="L5" s="127">
        <f t="shared" si="0"/>
        <v>3.9033699093550769E-2</v>
      </c>
      <c r="M5" s="124" t="s">
        <v>46</v>
      </c>
      <c r="N5" s="126" t="s">
        <v>46</v>
      </c>
      <c r="O5" s="82">
        <f>I5/E5</f>
        <v>3.9033699093550769E-2</v>
      </c>
      <c r="P5" s="131">
        <f>E5*W2</f>
        <v>26.630835000000001</v>
      </c>
      <c r="Q5" s="132">
        <f>E5*U2</f>
        <v>9.2227999999999994</v>
      </c>
      <c r="R5" s="120" t="s">
        <v>46</v>
      </c>
      <c r="S5" s="136" t="s">
        <v>46</v>
      </c>
      <c r="T5" s="137" t="s">
        <v>46</v>
      </c>
      <c r="U5" s="95">
        <v>1</v>
      </c>
      <c r="V5" s="77">
        <v>1.55E-2</v>
      </c>
      <c r="W5" s="110" t="e">
        <f>#REF!*0.0155</f>
        <v>#REF!</v>
      </c>
      <c r="X5" s="111" t="e">
        <f>W5*0.9</f>
        <v>#REF!</v>
      </c>
      <c r="Y5" s="113" t="e">
        <f>#REF!/X5</f>
        <v>#REF!</v>
      </c>
    </row>
    <row r="6" spans="1:25" ht="20" thickBot="1">
      <c r="A6" s="91">
        <v>45751</v>
      </c>
      <c r="B6" s="12" t="s">
        <v>10</v>
      </c>
      <c r="C6" s="13"/>
      <c r="D6" s="101">
        <v>97.85</v>
      </c>
      <c r="E6" s="89">
        <f>K5+D6</f>
        <v>337.41999999999996</v>
      </c>
      <c r="F6" s="94">
        <f>E6-G6</f>
        <v>239.56999999999996</v>
      </c>
      <c r="G6" s="94">
        <v>97.85</v>
      </c>
      <c r="H6" s="93">
        <f>K6-E6</f>
        <v>7.2000000000000455</v>
      </c>
      <c r="I6" s="94">
        <f t="shared" ref="I6:I27" si="2">H6*$B$39</f>
        <v>5.1120384091044127</v>
      </c>
      <c r="J6" s="94">
        <f t="shared" ref="J6:J27" si="3">H6*$B$40</f>
        <v>2.0879615908956333</v>
      </c>
      <c r="K6" s="90">
        <v>344.62</v>
      </c>
      <c r="L6" s="127">
        <f>H6/E6</f>
        <v>2.1338391322387667E-2</v>
      </c>
      <c r="M6" s="124">
        <f>E6*$W$2</f>
        <v>38.972009999999997</v>
      </c>
      <c r="N6" s="126">
        <f>$U$2*E6</f>
        <v>13.496799999999999</v>
      </c>
      <c r="O6" s="82">
        <f>I6/F6</f>
        <v>2.1338391322387667E-2</v>
      </c>
      <c r="P6" s="131">
        <f>F6*W2</f>
        <v>27.670334999999998</v>
      </c>
      <c r="Q6" s="133">
        <f>F6*U2</f>
        <v>9.5827999999999989</v>
      </c>
      <c r="R6" s="121">
        <f>J6/G6</f>
        <v>2.133839132238767E-2</v>
      </c>
      <c r="S6" s="136">
        <f>$W$2*G6</f>
        <v>11.301674999999999</v>
      </c>
      <c r="T6" s="137">
        <f>$U$2*G6</f>
        <v>3.9139999999999997</v>
      </c>
      <c r="U6" s="95" t="s">
        <v>20</v>
      </c>
      <c r="V6" s="77">
        <v>3.2000000000000001E-2</v>
      </c>
      <c r="W6" s="110" t="e">
        <f>#REF!*0.032</f>
        <v>#REF!</v>
      </c>
      <c r="X6" s="111" t="e">
        <f>W6*0.9</f>
        <v>#REF!</v>
      </c>
      <c r="Y6" s="113" t="e">
        <f>N30/(X6-W5)</f>
        <v>#REF!</v>
      </c>
    </row>
    <row r="7" spans="1:25" ht="20" thickBot="1">
      <c r="A7" s="91">
        <v>45752</v>
      </c>
      <c r="B7" s="68"/>
      <c r="C7" s="69"/>
      <c r="D7" s="100"/>
      <c r="E7" s="89">
        <f t="shared" ref="E7:E25" si="4">K6</f>
        <v>344.62</v>
      </c>
      <c r="F7" s="94">
        <f t="shared" ref="F7:G10" si="5">F6+I6</f>
        <v>244.68203840910436</v>
      </c>
      <c r="G7" s="94">
        <f t="shared" si="5"/>
        <v>99.937961590895625</v>
      </c>
      <c r="H7" s="93">
        <f t="shared" ref="H7:H8" si="6">K7-E7</f>
        <v>0</v>
      </c>
      <c r="I7" s="94">
        <f t="shared" si="2"/>
        <v>0</v>
      </c>
      <c r="J7" s="94">
        <f t="shared" si="3"/>
        <v>0</v>
      </c>
      <c r="K7" s="90">
        <v>344.62</v>
      </c>
      <c r="L7" s="127">
        <f t="shared" ref="L7:L25" si="7">H7/E7</f>
        <v>0</v>
      </c>
      <c r="M7" s="124">
        <f t="shared" ref="M7:M9" si="8">E7*$W$2</f>
        <v>39.803609999999999</v>
      </c>
      <c r="N7" s="126">
        <f t="shared" ref="N7:N9" si="9">$U$2*E7</f>
        <v>13.784800000000001</v>
      </c>
      <c r="O7" s="141">
        <f t="shared" ref="O7:O9" si="10">I7/F7</f>
        <v>0</v>
      </c>
      <c r="P7" s="131">
        <f>E7*W2</f>
        <v>39.803609999999999</v>
      </c>
      <c r="Q7" s="134">
        <f>E7*U2</f>
        <v>13.784800000000001</v>
      </c>
      <c r="R7" s="121">
        <f t="shared" ref="R7:R9" si="11">J7/G7</f>
        <v>0</v>
      </c>
      <c r="S7" s="136">
        <f t="shared" ref="S7:S9" si="12">$W$2*G7</f>
        <v>11.542834563748444</v>
      </c>
      <c r="T7" s="137">
        <f t="shared" ref="T7:T9" si="13">$U$2*G7</f>
        <v>3.9975184636358252</v>
      </c>
      <c r="U7" s="96" t="s">
        <v>26</v>
      </c>
      <c r="V7" s="78">
        <v>6.8000000000000005E-2</v>
      </c>
      <c r="W7" s="110" t="e">
        <f>#REF!*0.068</f>
        <v>#REF!</v>
      </c>
      <c r="X7" s="111" t="e">
        <f>W7*0.9</f>
        <v>#REF!</v>
      </c>
      <c r="Y7" s="113" t="e">
        <f>N30/(X7-W6-W5)</f>
        <v>#REF!</v>
      </c>
    </row>
    <row r="8" spans="1:25" ht="20" thickBot="1">
      <c r="A8" s="91">
        <v>45753</v>
      </c>
      <c r="B8" s="68"/>
      <c r="C8" s="69"/>
      <c r="D8" s="100"/>
      <c r="E8" s="89">
        <f t="shared" si="4"/>
        <v>344.62</v>
      </c>
      <c r="F8" s="94">
        <f t="shared" si="5"/>
        <v>244.68203840910436</v>
      </c>
      <c r="G8" s="94">
        <f t="shared" si="5"/>
        <v>99.937961590895625</v>
      </c>
      <c r="H8" s="93">
        <f t="shared" si="6"/>
        <v>0</v>
      </c>
      <c r="I8" s="94">
        <f t="shared" si="2"/>
        <v>0</v>
      </c>
      <c r="J8" s="94">
        <f t="shared" si="3"/>
        <v>0</v>
      </c>
      <c r="K8" s="90">
        <v>344.62</v>
      </c>
      <c r="L8" s="127">
        <f t="shared" si="7"/>
        <v>0</v>
      </c>
      <c r="M8" s="124">
        <f t="shared" si="8"/>
        <v>39.803609999999999</v>
      </c>
      <c r="N8" s="126">
        <f t="shared" si="9"/>
        <v>13.784800000000001</v>
      </c>
      <c r="O8" s="141">
        <f t="shared" si="10"/>
        <v>0</v>
      </c>
      <c r="P8" s="131">
        <f>E8*W2</f>
        <v>39.803609999999999</v>
      </c>
      <c r="Q8" s="135">
        <f>E8*U2</f>
        <v>13.784800000000001</v>
      </c>
      <c r="R8" s="121">
        <f t="shared" si="11"/>
        <v>0</v>
      </c>
      <c r="S8" s="136">
        <f t="shared" si="12"/>
        <v>11.542834563748444</v>
      </c>
      <c r="T8" s="137">
        <f t="shared" si="13"/>
        <v>3.9975184636358252</v>
      </c>
      <c r="U8" s="96"/>
      <c r="V8" s="78">
        <f>SUM(V5:V7)</f>
        <v>0.11550000000000001</v>
      </c>
      <c r="W8" s="112" t="e">
        <f>SUM(W5:W7)</f>
        <v>#REF!</v>
      </c>
    </row>
    <row r="9" spans="1:25" ht="22" thickBot="1">
      <c r="A9" s="91">
        <v>45754</v>
      </c>
      <c r="B9" s="12"/>
      <c r="C9" s="13" t="s">
        <v>9</v>
      </c>
      <c r="D9" s="100"/>
      <c r="E9" s="89">
        <f t="shared" si="4"/>
        <v>344.62</v>
      </c>
      <c r="F9" s="94">
        <f t="shared" si="5"/>
        <v>244.68203840910436</v>
      </c>
      <c r="G9" s="94">
        <f t="shared" si="5"/>
        <v>99.937961590895625</v>
      </c>
      <c r="H9" s="93">
        <f t="shared" ref="H9:H19" si="14">K9-E9</f>
        <v>-12</v>
      </c>
      <c r="I9" s="94">
        <f t="shared" si="2"/>
        <v>-8.5200640151739666</v>
      </c>
      <c r="J9" s="94">
        <f t="shared" si="3"/>
        <v>-3.4799359848260334</v>
      </c>
      <c r="K9" s="90">
        <v>332.62</v>
      </c>
      <c r="L9" s="127">
        <f t="shared" si="7"/>
        <v>-3.4820962219255992E-2</v>
      </c>
      <c r="M9" s="124">
        <f t="shared" si="8"/>
        <v>39.803609999999999</v>
      </c>
      <c r="N9" s="126">
        <f t="shared" si="9"/>
        <v>13.784800000000001</v>
      </c>
      <c r="O9" s="82">
        <f t="shared" si="10"/>
        <v>-3.4820962219255992E-2</v>
      </c>
      <c r="P9" s="131">
        <f>F9*$W$2</f>
        <v>28.260775436251556</v>
      </c>
      <c r="Q9" s="132">
        <f>E9*U2</f>
        <v>13.784800000000001</v>
      </c>
      <c r="R9" s="121">
        <f t="shared" si="11"/>
        <v>-3.4820962219255992E-2</v>
      </c>
      <c r="S9" s="136">
        <f t="shared" si="12"/>
        <v>11.542834563748444</v>
      </c>
      <c r="T9" s="137">
        <f t="shared" si="13"/>
        <v>3.9975184636358252</v>
      </c>
      <c r="U9" s="334" t="s">
        <v>4</v>
      </c>
      <c r="V9" s="334"/>
      <c r="W9" s="335"/>
    </row>
    <row r="10" spans="1:25" ht="16" thickBot="1">
      <c r="A10" s="91">
        <v>45755</v>
      </c>
      <c r="B10" s="12"/>
      <c r="C10" s="13" t="s">
        <v>9</v>
      </c>
      <c r="D10" s="100"/>
      <c r="E10" s="89">
        <f t="shared" si="4"/>
        <v>332.62</v>
      </c>
      <c r="F10" s="94">
        <f t="shared" si="5"/>
        <v>236.16197439393039</v>
      </c>
      <c r="G10" s="94">
        <f t="shared" si="5"/>
        <v>96.458025606069597</v>
      </c>
      <c r="H10" s="94">
        <f t="shared" si="14"/>
        <v>-14.079999999999984</v>
      </c>
      <c r="I10" s="94">
        <f t="shared" si="2"/>
        <v>-9.9968751111374434</v>
      </c>
      <c r="J10" s="94">
        <f t="shared" si="3"/>
        <v>-4.0831248888625415</v>
      </c>
      <c r="K10" s="90">
        <v>318.54000000000002</v>
      </c>
      <c r="L10" s="127">
        <f t="shared" si="7"/>
        <v>-4.2330587457158272E-2</v>
      </c>
      <c r="M10" s="124">
        <f t="shared" ref="M10:M15" si="15">E10*$W$2</f>
        <v>38.417610000000003</v>
      </c>
      <c r="N10" s="126">
        <f t="shared" ref="N10" si="16">$U$2*E10</f>
        <v>13.3048</v>
      </c>
      <c r="O10" s="31">
        <f>I10/F10</f>
        <v>-4.2330587457158272E-2</v>
      </c>
      <c r="P10" s="131">
        <f>F10*W2</f>
        <v>27.27670804249896</v>
      </c>
      <c r="Q10" s="132">
        <f>E10*U2</f>
        <v>13.3048</v>
      </c>
      <c r="R10" s="121">
        <f t="shared" ref="R10:R18" si="17">J10/G10</f>
        <v>-4.2330587457158279E-2</v>
      </c>
      <c r="S10" s="136">
        <f t="shared" ref="S10:S11" si="18">$W$2*G10</f>
        <v>11.14090195750104</v>
      </c>
      <c r="T10" s="137">
        <f t="shared" ref="T10:T11" si="19">$U$2*G10</f>
        <v>3.8583210242427839</v>
      </c>
      <c r="U10" s="338">
        <v>50</v>
      </c>
      <c r="V10" s="346"/>
      <c r="W10" s="346"/>
    </row>
    <row r="11" spans="1:25" ht="16" thickBot="1">
      <c r="A11" s="91">
        <v>45756</v>
      </c>
      <c r="B11" s="12" t="s">
        <v>10</v>
      </c>
      <c r="C11" s="13"/>
      <c r="D11" s="100"/>
      <c r="E11" s="89">
        <f t="shared" si="4"/>
        <v>318.54000000000002</v>
      </c>
      <c r="F11" s="94">
        <f t="shared" ref="F11:F12" si="20">F10+I10</f>
        <v>226.16509928279294</v>
      </c>
      <c r="G11" s="94">
        <f t="shared" ref="G11:G12" si="21">G10+J10</f>
        <v>92.374900717207055</v>
      </c>
      <c r="H11" s="94">
        <f t="shared" si="14"/>
        <v>11.95999999999998</v>
      </c>
      <c r="I11" s="94">
        <f t="shared" si="2"/>
        <v>8.4916638017900397</v>
      </c>
      <c r="J11" s="94">
        <f t="shared" si="3"/>
        <v>3.4683361982099408</v>
      </c>
      <c r="K11" s="90">
        <v>330.5</v>
      </c>
      <c r="L11" s="127">
        <f t="shared" si="7"/>
        <v>3.7546305016638346E-2</v>
      </c>
      <c r="M11" s="124">
        <f t="shared" si="15"/>
        <v>36.791370000000001</v>
      </c>
      <c r="N11" s="126">
        <f t="shared" ref="N11" si="22">$U$2*E11</f>
        <v>12.741600000000002</v>
      </c>
      <c r="O11" s="81">
        <f>I11/F11</f>
        <v>3.7546305016638352E-2</v>
      </c>
      <c r="P11" s="131">
        <f>F11*$W$2</f>
        <v>26.122068967162587</v>
      </c>
      <c r="Q11" s="132">
        <f>F11*$U$2</f>
        <v>9.0466039713117183</v>
      </c>
      <c r="R11" s="121">
        <f t="shared" si="17"/>
        <v>3.7546305016638352E-2</v>
      </c>
      <c r="S11" s="136">
        <f t="shared" si="18"/>
        <v>10.669301032837415</v>
      </c>
      <c r="T11" s="137">
        <f t="shared" si="19"/>
        <v>3.6949960286882821</v>
      </c>
      <c r="U11" s="347"/>
      <c r="V11" s="346"/>
      <c r="W11" s="346"/>
    </row>
    <row r="12" spans="1:25" ht="16" thickBot="1">
      <c r="A12" s="91">
        <v>45757</v>
      </c>
      <c r="B12" s="12"/>
      <c r="C12" s="13" t="s">
        <v>9</v>
      </c>
      <c r="D12" s="100"/>
      <c r="E12" s="89">
        <f t="shared" si="4"/>
        <v>330.5</v>
      </c>
      <c r="F12" s="94">
        <f t="shared" si="20"/>
        <v>234.65676308458296</v>
      </c>
      <c r="G12" s="94">
        <f t="shared" si="21"/>
        <v>95.843236915416995</v>
      </c>
      <c r="H12" s="94">
        <f t="shared" si="14"/>
        <v>-33.600000000000023</v>
      </c>
      <c r="I12" s="94">
        <f t="shared" si="2"/>
        <v>-23.856179242487123</v>
      </c>
      <c r="J12" s="94">
        <f t="shared" si="3"/>
        <v>-9.7438207575128999</v>
      </c>
      <c r="K12" s="90">
        <v>296.89999999999998</v>
      </c>
      <c r="L12" s="127">
        <f t="shared" si="7"/>
        <v>-0.10166414523449326</v>
      </c>
      <c r="M12" s="124">
        <f t="shared" si="15"/>
        <v>38.172750000000001</v>
      </c>
      <c r="N12" s="126">
        <f t="shared" ref="N12" si="23">$U$2*E12</f>
        <v>13.22</v>
      </c>
      <c r="O12" s="81">
        <f>I12/F12</f>
        <v>-0.10166414523449328</v>
      </c>
      <c r="P12" s="131">
        <f>F12*$W$2</f>
        <v>27.102856136269335</v>
      </c>
      <c r="Q12" s="132">
        <f>F12*$U$2</f>
        <v>9.3862705233833186</v>
      </c>
      <c r="R12" s="121">
        <f t="shared" si="17"/>
        <v>-0.10166414523449327</v>
      </c>
      <c r="S12" s="136">
        <f t="shared" ref="S12" si="24">$W$2*G12</f>
        <v>11.069893863730663</v>
      </c>
      <c r="T12" s="137">
        <f t="shared" ref="T12" si="25">$U$2*G12</f>
        <v>3.8337294766166798</v>
      </c>
      <c r="U12" s="336" t="s">
        <v>6</v>
      </c>
      <c r="V12" s="323"/>
      <c r="W12" s="323"/>
    </row>
    <row r="13" spans="1:25" ht="16" thickBot="1">
      <c r="A13" s="91">
        <v>45758</v>
      </c>
      <c r="B13" s="12" t="s">
        <v>10</v>
      </c>
      <c r="C13" s="13"/>
      <c r="D13" s="100"/>
      <c r="E13" s="89">
        <f t="shared" si="4"/>
        <v>296.89999999999998</v>
      </c>
      <c r="F13" s="94">
        <f t="shared" ref="F13" si="26">F12+I12</f>
        <v>210.80058384209585</v>
      </c>
      <c r="G13" s="94">
        <f t="shared" ref="G13" si="27">G12+J12</f>
        <v>86.099416157904102</v>
      </c>
      <c r="H13" s="94">
        <f t="shared" si="14"/>
        <v>4.5</v>
      </c>
      <c r="I13" s="94">
        <f t="shared" si="2"/>
        <v>3.1950240056902377</v>
      </c>
      <c r="J13" s="94">
        <f t="shared" si="3"/>
        <v>1.3049759943097625</v>
      </c>
      <c r="K13" s="90">
        <v>301.39999999999998</v>
      </c>
      <c r="L13" s="127">
        <f t="shared" si="7"/>
        <v>1.5156618390030314E-2</v>
      </c>
      <c r="M13" s="124">
        <f t="shared" si="15"/>
        <v>34.29195</v>
      </c>
      <c r="N13" s="126">
        <f t="shared" ref="N13" si="28">$U$2*E13</f>
        <v>11.875999999999999</v>
      </c>
      <c r="O13" s="81">
        <f>I13/F13</f>
        <v>1.5156618390030317E-2</v>
      </c>
      <c r="P13" s="131">
        <f>F13*$W$2</f>
        <v>24.34746743376207</v>
      </c>
      <c r="Q13" s="132">
        <f>F13*$U$2</f>
        <v>8.4320233536838334</v>
      </c>
      <c r="R13" s="121">
        <f t="shared" si="17"/>
        <v>1.5156618390030314E-2</v>
      </c>
      <c r="S13" s="136">
        <f t="shared" ref="S13" si="29">$W$2*G13</f>
        <v>9.9444825662379248</v>
      </c>
      <c r="T13" s="137">
        <f t="shared" ref="T13" si="30">$U$2*G13</f>
        <v>3.4439766463161643</v>
      </c>
      <c r="U13" s="337"/>
      <c r="V13" s="323"/>
      <c r="W13" s="323"/>
    </row>
    <row r="14" spans="1:25" ht="16" thickBot="1">
      <c r="A14" s="91">
        <v>45759</v>
      </c>
      <c r="B14" s="12" t="s">
        <v>10</v>
      </c>
      <c r="C14" s="13"/>
      <c r="D14" s="100"/>
      <c r="E14" s="89">
        <f t="shared" si="4"/>
        <v>301.39999999999998</v>
      </c>
      <c r="F14" s="94">
        <f t="shared" ref="F14" si="31">F13+I13</f>
        <v>213.99560784778609</v>
      </c>
      <c r="G14" s="94">
        <f t="shared" ref="G14" si="32">G13+J13</f>
        <v>87.404392152213859</v>
      </c>
      <c r="H14" s="94">
        <f t="shared" si="14"/>
        <v>3.7000000000000455</v>
      </c>
      <c r="I14" s="94">
        <f t="shared" si="2"/>
        <v>2.6270197380120055</v>
      </c>
      <c r="J14" s="94">
        <f t="shared" si="3"/>
        <v>1.0729802619880402</v>
      </c>
      <c r="K14" s="90">
        <v>305.10000000000002</v>
      </c>
      <c r="L14" s="127">
        <f t="shared" si="7"/>
        <v>1.2276045122760603E-2</v>
      </c>
      <c r="M14" s="124">
        <f t="shared" si="15"/>
        <v>34.811700000000002</v>
      </c>
      <c r="N14" s="126">
        <f t="shared" ref="N14" si="33">$U$2*E14</f>
        <v>12.055999999999999</v>
      </c>
      <c r="O14" s="81">
        <f t="shared" ref="O14:O18" si="34">I14/F14</f>
        <v>1.2276045122760605E-2</v>
      </c>
      <c r="P14" s="131">
        <f>F14*$W$2</f>
        <v>24.716492706419295</v>
      </c>
      <c r="Q14" s="132">
        <f>F14*$U$2</f>
        <v>8.5598243139114434</v>
      </c>
      <c r="R14" s="121">
        <f t="shared" si="17"/>
        <v>1.2276045122760605E-2</v>
      </c>
      <c r="S14" s="136">
        <f t="shared" ref="S14:S15" si="35">$W$2*G14</f>
        <v>10.095207293580701</v>
      </c>
      <c r="T14" s="137">
        <f t="shared" ref="T14:T15" si="36">$U$2*G14</f>
        <v>3.4961756860885544</v>
      </c>
      <c r="U14" s="338">
        <f>I33</f>
        <v>0.40484264596297237</v>
      </c>
      <c r="V14" s="339"/>
      <c r="W14" s="339"/>
    </row>
    <row r="15" spans="1:25" ht="16" thickBot="1">
      <c r="A15" s="91">
        <v>45760</v>
      </c>
      <c r="B15" s="12"/>
      <c r="C15" s="13" t="s">
        <v>9</v>
      </c>
      <c r="D15" s="100"/>
      <c r="E15" s="89">
        <f t="shared" si="4"/>
        <v>305.10000000000002</v>
      </c>
      <c r="F15" s="94">
        <f t="shared" ref="F15" si="37">F14+I14</f>
        <v>216.62262758579809</v>
      </c>
      <c r="G15" s="94">
        <f t="shared" ref="G15" si="38">G14+J14</f>
        <v>88.477372414201895</v>
      </c>
      <c r="H15" s="94">
        <f t="shared" si="14"/>
        <v>-21</v>
      </c>
      <c r="I15" s="94">
        <f t="shared" si="2"/>
        <v>-14.910112026554442</v>
      </c>
      <c r="J15" s="94">
        <f t="shared" si="3"/>
        <v>-6.089887973445558</v>
      </c>
      <c r="K15" s="90">
        <v>284.10000000000002</v>
      </c>
      <c r="L15" s="127">
        <f t="shared" si="7"/>
        <v>-6.8829891838741386E-2</v>
      </c>
      <c r="M15" s="124">
        <f t="shared" si="15"/>
        <v>35.239050000000006</v>
      </c>
      <c r="N15" s="126">
        <f t="shared" ref="N15" si="39">$U$2*E15</f>
        <v>12.204000000000001</v>
      </c>
      <c r="O15" s="81">
        <f t="shared" si="34"/>
        <v>-6.88298918387414E-2</v>
      </c>
      <c r="P15" s="131">
        <f t="shared" ref="P15:P21" si="40">F15*$W$2</f>
        <v>25.01991348615968</v>
      </c>
      <c r="Q15" s="132">
        <f t="shared" ref="Q15:Q21" si="41">F15*$U$2</f>
        <v>8.6649051034319235</v>
      </c>
      <c r="R15" s="121">
        <f t="shared" si="17"/>
        <v>-6.88298918387414E-2</v>
      </c>
      <c r="S15" s="136">
        <f t="shared" si="35"/>
        <v>10.219136513840319</v>
      </c>
      <c r="T15" s="137">
        <f t="shared" si="36"/>
        <v>3.5390948965680757</v>
      </c>
      <c r="U15" s="340"/>
      <c r="V15" s="341"/>
      <c r="W15" s="341"/>
    </row>
    <row r="16" spans="1:25" ht="16" thickBot="1">
      <c r="A16" s="91">
        <v>45761</v>
      </c>
      <c r="B16" s="68"/>
      <c r="C16" s="69"/>
      <c r="D16" s="100"/>
      <c r="E16" s="89">
        <f t="shared" si="4"/>
        <v>284.10000000000002</v>
      </c>
      <c r="F16" s="94">
        <f t="shared" ref="F16" si="42">F15+I15</f>
        <v>201.71251555924366</v>
      </c>
      <c r="G16" s="94">
        <f t="shared" ref="G16" si="43">G15+J15</f>
        <v>82.387484440756339</v>
      </c>
      <c r="H16" s="94">
        <f t="shared" si="14"/>
        <v>0</v>
      </c>
      <c r="I16" s="94">
        <f t="shared" si="2"/>
        <v>0</v>
      </c>
      <c r="J16" s="94">
        <f t="shared" si="3"/>
        <v>0</v>
      </c>
      <c r="K16" s="90">
        <v>284.10000000000002</v>
      </c>
      <c r="L16" s="127">
        <f t="shared" si="7"/>
        <v>0</v>
      </c>
      <c r="M16" s="124">
        <f t="shared" ref="M16:M17" si="44">E16*$W$2</f>
        <v>32.813550000000006</v>
      </c>
      <c r="N16" s="126">
        <f t="shared" ref="N16:N17" si="45">$U$2*E16</f>
        <v>11.364000000000001</v>
      </c>
      <c r="O16" s="31">
        <f t="shared" si="34"/>
        <v>0</v>
      </c>
      <c r="P16" s="131">
        <f t="shared" si="40"/>
        <v>23.297795547092644</v>
      </c>
      <c r="Q16" s="132">
        <f t="shared" si="41"/>
        <v>8.0685006223697471</v>
      </c>
      <c r="R16" s="121">
        <f t="shared" si="17"/>
        <v>0</v>
      </c>
      <c r="S16" s="136">
        <f t="shared" ref="S16:S17" si="46">$W$2*G16</f>
        <v>9.5157544529073572</v>
      </c>
      <c r="T16" s="137">
        <f t="shared" ref="T16:T17" si="47">$U$2*G16</f>
        <v>3.2954993776302537</v>
      </c>
      <c r="U16" s="304"/>
      <c r="V16" s="304"/>
      <c r="W16" s="304"/>
    </row>
    <row r="17" spans="1:23" ht="16" thickBot="1">
      <c r="A17" s="91">
        <v>45762</v>
      </c>
      <c r="B17" s="12" t="s">
        <v>10</v>
      </c>
      <c r="C17" s="13"/>
      <c r="D17" s="100"/>
      <c r="E17" s="89">
        <f t="shared" si="4"/>
        <v>284.10000000000002</v>
      </c>
      <c r="F17" s="94">
        <f t="shared" ref="F17" si="48">F16+I16</f>
        <v>201.71251555924366</v>
      </c>
      <c r="G17" s="94">
        <f t="shared" ref="G17" si="49">G16+J16</f>
        <v>82.387484440756339</v>
      </c>
      <c r="H17" s="94">
        <f t="shared" si="14"/>
        <v>4.5</v>
      </c>
      <c r="I17" s="94">
        <f t="shared" si="2"/>
        <v>3.1950240056902377</v>
      </c>
      <c r="J17" s="94">
        <f t="shared" si="3"/>
        <v>1.3049759943097625</v>
      </c>
      <c r="K17" s="90">
        <v>288.60000000000002</v>
      </c>
      <c r="L17" s="127">
        <f t="shared" si="7"/>
        <v>1.5839493136219639E-2</v>
      </c>
      <c r="M17" s="124">
        <f t="shared" si="44"/>
        <v>32.813550000000006</v>
      </c>
      <c r="N17" s="126">
        <f t="shared" si="45"/>
        <v>11.364000000000001</v>
      </c>
      <c r="O17" s="31">
        <f t="shared" si="34"/>
        <v>1.5839493136219643E-2</v>
      </c>
      <c r="P17" s="131">
        <f t="shared" si="40"/>
        <v>23.297795547092644</v>
      </c>
      <c r="Q17" s="132">
        <f t="shared" si="41"/>
        <v>8.0685006223697471</v>
      </c>
      <c r="R17" s="121">
        <f t="shared" si="17"/>
        <v>1.5839493136219643E-2</v>
      </c>
      <c r="S17" s="136">
        <f t="shared" si="46"/>
        <v>9.5157544529073572</v>
      </c>
      <c r="T17" s="137">
        <f t="shared" si="47"/>
        <v>3.2954993776302537</v>
      </c>
      <c r="U17" s="304"/>
      <c r="V17" s="304"/>
      <c r="W17" s="304"/>
    </row>
    <row r="18" spans="1:23" ht="16" thickBot="1">
      <c r="A18" s="91">
        <v>45763</v>
      </c>
      <c r="B18" s="12" t="s">
        <v>10</v>
      </c>
      <c r="C18" s="13"/>
      <c r="D18" s="100"/>
      <c r="E18" s="89">
        <f t="shared" si="4"/>
        <v>288.60000000000002</v>
      </c>
      <c r="F18" s="94">
        <f t="shared" ref="F18" si="50">F17+I17</f>
        <v>204.9075395649339</v>
      </c>
      <c r="G18" s="94">
        <f t="shared" ref="G18" si="51">G17+J17</f>
        <v>83.692460435066096</v>
      </c>
      <c r="H18" s="94">
        <f t="shared" si="14"/>
        <v>7.3599999999999568</v>
      </c>
      <c r="I18" s="94">
        <f t="shared" si="2"/>
        <v>5.2256392626400023</v>
      </c>
      <c r="J18" s="94">
        <f t="shared" si="3"/>
        <v>2.1343607373599545</v>
      </c>
      <c r="K18" s="90">
        <v>295.95999999999998</v>
      </c>
      <c r="L18" s="127">
        <f t="shared" si="7"/>
        <v>2.550242550242535E-2</v>
      </c>
      <c r="M18" s="124">
        <f t="shared" ref="M18" si="52">E18*$W$2</f>
        <v>33.333300000000001</v>
      </c>
      <c r="N18" s="126">
        <f t="shared" ref="N18" si="53">$U$2*E18</f>
        <v>11.544</v>
      </c>
      <c r="O18" s="31">
        <f t="shared" si="34"/>
        <v>2.5502425502425353E-2</v>
      </c>
      <c r="P18" s="131">
        <f t="shared" si="40"/>
        <v>23.666820819749866</v>
      </c>
      <c r="Q18" s="132">
        <f t="shared" si="41"/>
        <v>8.1963015825973553</v>
      </c>
      <c r="R18" s="121">
        <f t="shared" si="17"/>
        <v>2.5502425502425353E-2</v>
      </c>
      <c r="S18" s="136">
        <f t="shared" ref="S18:S19" si="54">$W$2*G18</f>
        <v>9.6664791802501338</v>
      </c>
      <c r="T18" s="137">
        <f t="shared" ref="T18:T19" si="55">$U$2*G18</f>
        <v>3.3476984174026438</v>
      </c>
      <c r="U18" s="304"/>
      <c r="V18" s="304"/>
      <c r="W18" s="304"/>
    </row>
    <row r="19" spans="1:23" ht="16" thickBot="1">
      <c r="A19" s="91">
        <v>45764</v>
      </c>
      <c r="B19" s="12" t="s">
        <v>10</v>
      </c>
      <c r="C19" s="13"/>
      <c r="D19" s="100"/>
      <c r="E19" s="89">
        <f t="shared" si="4"/>
        <v>295.95999999999998</v>
      </c>
      <c r="F19" s="94">
        <f t="shared" ref="F19" si="56">F18+I18</f>
        <v>210.13317882757391</v>
      </c>
      <c r="G19" s="94">
        <f t="shared" ref="G19" si="57">G18+J18</f>
        <v>85.826821172426051</v>
      </c>
      <c r="H19" s="94">
        <f t="shared" si="14"/>
        <v>6.7200000000000273</v>
      </c>
      <c r="I19" s="94">
        <f t="shared" si="2"/>
        <v>4.7712358484974411</v>
      </c>
      <c r="J19" s="94">
        <f t="shared" si="3"/>
        <v>1.9487641515025866</v>
      </c>
      <c r="K19" s="90">
        <v>302.68</v>
      </c>
      <c r="L19" s="127">
        <f t="shared" si="7"/>
        <v>2.2705771050142005E-2</v>
      </c>
      <c r="M19" s="124">
        <f t="shared" ref="M19" si="58">E19*$W$2</f>
        <v>34.18338</v>
      </c>
      <c r="N19" s="126">
        <f t="shared" ref="N19" si="59">$U$2*E19</f>
        <v>11.8384</v>
      </c>
      <c r="O19" s="31">
        <f t="shared" ref="O19:O22" si="60">I19/F19</f>
        <v>2.2705771050142008E-2</v>
      </c>
      <c r="P19" s="131">
        <f t="shared" ref="P19" si="61">F19*$W$2</f>
        <v>24.270382154584787</v>
      </c>
      <c r="Q19" s="132">
        <f t="shared" ref="Q19" si="62">F19*$U$2</f>
        <v>8.4053271531029559</v>
      </c>
      <c r="R19" s="121">
        <f t="shared" ref="R19" si="63">J19/G19</f>
        <v>2.2705771050142008E-2</v>
      </c>
      <c r="S19" s="136">
        <f t="shared" si="54"/>
        <v>9.9129978454152088</v>
      </c>
      <c r="T19" s="137">
        <f t="shared" si="55"/>
        <v>3.433072846897042</v>
      </c>
      <c r="U19" s="304"/>
      <c r="V19" s="304"/>
      <c r="W19" s="304"/>
    </row>
    <row r="20" spans="1:23" ht="16" thickBot="1">
      <c r="A20" s="91">
        <v>45765</v>
      </c>
      <c r="B20" s="68"/>
      <c r="C20" s="69"/>
      <c r="D20" s="100"/>
      <c r="E20" s="89">
        <f t="shared" si="4"/>
        <v>302.68</v>
      </c>
      <c r="F20" s="94">
        <f t="shared" ref="F20:F21" si="64">F19+I19</f>
        <v>214.90441467607135</v>
      </c>
      <c r="G20" s="94">
        <f t="shared" ref="G20:G21" si="65">G19+J19</f>
        <v>87.775585323928638</v>
      </c>
      <c r="H20" s="94">
        <f t="shared" ref="H20:H30" si="66">K20-E20</f>
        <v>0</v>
      </c>
      <c r="I20" s="94">
        <f t="shared" si="2"/>
        <v>0</v>
      </c>
      <c r="J20" s="94">
        <f t="shared" si="3"/>
        <v>0</v>
      </c>
      <c r="K20" s="90">
        <v>302.68</v>
      </c>
      <c r="L20" s="127">
        <f t="shared" si="7"/>
        <v>0</v>
      </c>
      <c r="M20" s="124">
        <f t="shared" ref="M20:M22" si="67">E20*$W$2</f>
        <v>34.959540000000004</v>
      </c>
      <c r="N20" s="126">
        <f t="shared" ref="N20:N22" si="68">$U$2*E20</f>
        <v>12.107200000000001</v>
      </c>
      <c r="O20" s="31">
        <f t="shared" si="60"/>
        <v>0</v>
      </c>
      <c r="P20" s="131">
        <f t="shared" si="40"/>
        <v>24.821459895086242</v>
      </c>
      <c r="Q20" s="132">
        <f t="shared" si="41"/>
        <v>8.596176587042855</v>
      </c>
      <c r="R20" s="121">
        <f t="shared" ref="R20:R22" si="69">J20/G20</f>
        <v>0</v>
      </c>
      <c r="S20" s="136">
        <f t="shared" ref="S20:S22" si="70">$W$2*G20</f>
        <v>10.138080104913758</v>
      </c>
      <c r="T20" s="137">
        <f t="shared" ref="T20:T22" si="71">$U$2*G20</f>
        <v>3.5110234129571456</v>
      </c>
      <c r="U20" s="1"/>
      <c r="V20" s="35"/>
      <c r="W20" s="1"/>
    </row>
    <row r="21" spans="1:23" ht="16" thickBot="1">
      <c r="A21" s="91">
        <v>45766</v>
      </c>
      <c r="B21" s="68"/>
      <c r="C21" s="69"/>
      <c r="D21" s="100"/>
      <c r="E21" s="89">
        <f t="shared" si="4"/>
        <v>302.68</v>
      </c>
      <c r="F21" s="94">
        <f t="shared" si="64"/>
        <v>214.90441467607135</v>
      </c>
      <c r="G21" s="94">
        <f t="shared" si="65"/>
        <v>87.775585323928638</v>
      </c>
      <c r="H21" s="94">
        <f t="shared" si="66"/>
        <v>0</v>
      </c>
      <c r="I21" s="94">
        <f t="shared" si="2"/>
        <v>0</v>
      </c>
      <c r="J21" s="94">
        <f t="shared" si="3"/>
        <v>0</v>
      </c>
      <c r="K21" s="90">
        <v>302.68</v>
      </c>
      <c r="L21" s="127">
        <f t="shared" si="7"/>
        <v>0</v>
      </c>
      <c r="M21" s="124">
        <f t="shared" si="67"/>
        <v>34.959540000000004</v>
      </c>
      <c r="N21" s="126">
        <f t="shared" si="68"/>
        <v>12.107200000000001</v>
      </c>
      <c r="O21" s="31">
        <f t="shared" si="60"/>
        <v>0</v>
      </c>
      <c r="P21" s="131">
        <f t="shared" si="40"/>
        <v>24.821459895086242</v>
      </c>
      <c r="Q21" s="132">
        <f t="shared" si="41"/>
        <v>8.596176587042855</v>
      </c>
      <c r="R21" s="121">
        <f t="shared" si="69"/>
        <v>0</v>
      </c>
      <c r="S21" s="136">
        <f t="shared" si="70"/>
        <v>10.138080104913758</v>
      </c>
      <c r="T21" s="137">
        <f t="shared" si="71"/>
        <v>3.5110234129571456</v>
      </c>
      <c r="U21" s="1"/>
      <c r="V21" s="1"/>
      <c r="W21" s="1"/>
    </row>
    <row r="22" spans="1:23" ht="16" thickBot="1">
      <c r="A22" s="91">
        <v>45767</v>
      </c>
      <c r="B22" s="12" t="s">
        <v>10</v>
      </c>
      <c r="C22" s="13"/>
      <c r="D22" s="100"/>
      <c r="E22" s="89">
        <f t="shared" si="4"/>
        <v>302.68</v>
      </c>
      <c r="F22" s="116">
        <f t="shared" ref="F22" si="72">F21+I21</f>
        <v>214.90441467607135</v>
      </c>
      <c r="G22" s="116">
        <f t="shared" ref="G22" si="73">G21+J21</f>
        <v>87.775585323928638</v>
      </c>
      <c r="H22" s="94">
        <f t="shared" si="66"/>
        <v>1.5999999999999659</v>
      </c>
      <c r="I22" s="94">
        <f t="shared" si="2"/>
        <v>1.1360085353565046</v>
      </c>
      <c r="J22" s="94">
        <f t="shared" si="3"/>
        <v>0.46399146464346125</v>
      </c>
      <c r="K22" s="90">
        <v>304.27999999999997</v>
      </c>
      <c r="L22" s="127">
        <f t="shared" si="7"/>
        <v>5.2861107440199742E-3</v>
      </c>
      <c r="M22" s="147">
        <f t="shared" si="67"/>
        <v>34.959540000000004</v>
      </c>
      <c r="N22" s="148">
        <f t="shared" si="68"/>
        <v>12.107200000000001</v>
      </c>
      <c r="O22" s="31">
        <f t="shared" si="60"/>
        <v>5.2861107440199742E-3</v>
      </c>
      <c r="P22" s="131">
        <f t="shared" ref="P22" si="74">F22*$W$2</f>
        <v>24.821459895086242</v>
      </c>
      <c r="Q22" s="132">
        <f t="shared" ref="Q22" si="75">F22*$U$2</f>
        <v>8.596176587042855</v>
      </c>
      <c r="R22" s="121">
        <f t="shared" si="69"/>
        <v>5.2861107440199751E-3</v>
      </c>
      <c r="S22" s="136">
        <f t="shared" si="70"/>
        <v>10.138080104913758</v>
      </c>
      <c r="T22" s="137">
        <f t="shared" si="71"/>
        <v>3.5110234129571456</v>
      </c>
      <c r="U22" s="1"/>
      <c r="V22" s="1"/>
    </row>
    <row r="23" spans="1:23">
      <c r="A23" s="91">
        <v>45768</v>
      </c>
      <c r="B23" s="143"/>
      <c r="C23" s="144" t="s">
        <v>9</v>
      </c>
      <c r="D23" s="145"/>
      <c r="E23" s="167">
        <f t="shared" si="4"/>
        <v>304.27999999999997</v>
      </c>
      <c r="F23" s="162">
        <f t="shared" ref="F23:G26" si="76">F22+I22</f>
        <v>216.04042321142785</v>
      </c>
      <c r="G23" s="162">
        <f t="shared" si="76"/>
        <v>88.239576788572094</v>
      </c>
      <c r="H23" s="116">
        <f t="shared" si="66"/>
        <v>-20.559999999999945</v>
      </c>
      <c r="I23" s="116">
        <f t="shared" si="2"/>
        <v>-14.597709679331357</v>
      </c>
      <c r="J23" s="116">
        <f t="shared" si="3"/>
        <v>-5.962290320668588</v>
      </c>
      <c r="K23" s="146">
        <v>283.72000000000003</v>
      </c>
      <c r="L23" s="170">
        <f t="shared" si="7"/>
        <v>-6.7569344025239744E-2</v>
      </c>
      <c r="M23" s="139">
        <f t="shared" ref="M23" si="77">E23*$W$2</f>
        <v>35.14434</v>
      </c>
      <c r="N23" s="140">
        <f t="shared" ref="N23" si="78">$U$2*E23</f>
        <v>12.171199999999999</v>
      </c>
      <c r="O23" s="172">
        <f t="shared" ref="O23:O28" si="79">I23/F23</f>
        <v>-6.7569344025239744E-2</v>
      </c>
      <c r="P23" s="149">
        <f t="shared" ref="P23:P29" si="80">F23*$W$2</f>
        <v>24.952668880919919</v>
      </c>
      <c r="Q23" s="133">
        <f t="shared" ref="Q23:Q29" si="81">F23*$U$2</f>
        <v>8.6416169284571147</v>
      </c>
      <c r="R23" s="150">
        <f>J23/G23</f>
        <v>-6.7569344025239744E-2</v>
      </c>
      <c r="S23" s="151">
        <f>$W$2*G23</f>
        <v>10.191671119080077</v>
      </c>
      <c r="T23" s="152">
        <f>$U$2*G23</f>
        <v>3.5295830715428838</v>
      </c>
      <c r="U23" s="1"/>
      <c r="V23" s="1"/>
    </row>
    <row r="24" spans="1:23">
      <c r="A24" s="142">
        <v>45769</v>
      </c>
      <c r="B24" s="159"/>
      <c r="C24" s="144" t="s">
        <v>9</v>
      </c>
      <c r="D24" s="161"/>
      <c r="E24" s="168">
        <f t="shared" si="4"/>
        <v>283.72000000000003</v>
      </c>
      <c r="F24" s="162">
        <f t="shared" si="76"/>
        <v>201.44271353209649</v>
      </c>
      <c r="G24" s="162">
        <f t="shared" si="76"/>
        <v>82.277286467903508</v>
      </c>
      <c r="H24" s="169">
        <f t="shared" si="66"/>
        <v>-32.000000000000028</v>
      </c>
      <c r="I24" s="162">
        <f t="shared" si="2"/>
        <v>-22.720170707130599</v>
      </c>
      <c r="J24" s="162">
        <f t="shared" si="3"/>
        <v>-9.2798292928694313</v>
      </c>
      <c r="K24" s="163">
        <v>251.72</v>
      </c>
      <c r="L24" s="171">
        <f t="shared" si="7"/>
        <v>-0.11278725504018054</v>
      </c>
      <c r="M24" s="139">
        <f t="shared" ref="M24:M25" si="82">E24*$W$2</f>
        <v>32.769660000000002</v>
      </c>
      <c r="N24" s="140">
        <f t="shared" ref="N24:N25" si="83">$U$2*E24</f>
        <v>11.348800000000001</v>
      </c>
      <c r="O24" s="172">
        <f t="shared" si="79"/>
        <v>-0.11278725504018056</v>
      </c>
      <c r="P24" s="166">
        <f t="shared" si="80"/>
        <v>23.266633412957145</v>
      </c>
      <c r="Q24" s="137">
        <f t="shared" si="81"/>
        <v>8.0577085412838603</v>
      </c>
      <c r="R24" s="150">
        <f t="shared" ref="R24:R25" si="84">J24/G24</f>
        <v>-0.11278725504018058</v>
      </c>
      <c r="S24" s="151">
        <f t="shared" ref="S24:S25" si="85">$W$2*G24</f>
        <v>9.5030265870428554</v>
      </c>
      <c r="T24" s="152">
        <f t="shared" ref="T24:T25" si="86">$U$2*G24</f>
        <v>3.2910914587161404</v>
      </c>
      <c r="U24" s="1"/>
      <c r="V24" s="1"/>
      <c r="W24" s="1"/>
    </row>
    <row r="25" spans="1:23">
      <c r="A25" s="142">
        <v>45770</v>
      </c>
      <c r="B25" s="12" t="s">
        <v>10</v>
      </c>
      <c r="C25" s="160"/>
      <c r="D25" s="161"/>
      <c r="E25" s="168">
        <f t="shared" si="4"/>
        <v>251.72</v>
      </c>
      <c r="F25" s="162">
        <f t="shared" si="76"/>
        <v>178.7225428249659</v>
      </c>
      <c r="G25" s="162">
        <f t="shared" si="76"/>
        <v>72.997457175034071</v>
      </c>
      <c r="H25" s="162">
        <f t="shared" si="66"/>
        <v>11.359999999999985</v>
      </c>
      <c r="I25" s="162">
        <f t="shared" si="2"/>
        <v>8.065660601031345</v>
      </c>
      <c r="J25" s="162">
        <f t="shared" si="3"/>
        <v>3.2943393989686407</v>
      </c>
      <c r="K25" s="163">
        <v>263.08</v>
      </c>
      <c r="L25" s="171">
        <f t="shared" si="7"/>
        <v>4.5129508978229718E-2</v>
      </c>
      <c r="M25" s="139">
        <f t="shared" si="82"/>
        <v>29.07366</v>
      </c>
      <c r="N25" s="140">
        <f t="shared" si="83"/>
        <v>10.0688</v>
      </c>
      <c r="O25" s="172">
        <f t="shared" si="79"/>
        <v>4.5129508978229725E-2</v>
      </c>
      <c r="P25" s="166">
        <f t="shared" si="80"/>
        <v>20.642453696283564</v>
      </c>
      <c r="Q25" s="137">
        <f t="shared" si="81"/>
        <v>7.1489017129986365</v>
      </c>
      <c r="R25" s="150">
        <f t="shared" si="84"/>
        <v>4.5129508978229732E-2</v>
      </c>
      <c r="S25" s="151">
        <f t="shared" si="85"/>
        <v>8.4312063037164364</v>
      </c>
      <c r="T25" s="152">
        <f t="shared" si="86"/>
        <v>2.919898287001363</v>
      </c>
      <c r="U25" s="1"/>
      <c r="V25" s="1"/>
      <c r="W25" s="1"/>
    </row>
    <row r="26" spans="1:23">
      <c r="A26" s="142">
        <v>45771</v>
      </c>
      <c r="B26" s="159"/>
      <c r="C26" s="144" t="s">
        <v>9</v>
      </c>
      <c r="D26" s="161"/>
      <c r="E26" s="168">
        <f t="shared" ref="E26" si="87">K25</f>
        <v>263.08</v>
      </c>
      <c r="F26" s="162">
        <f t="shared" si="76"/>
        <v>186.78820342599724</v>
      </c>
      <c r="G26" s="162">
        <f t="shared" si="76"/>
        <v>76.291796574002717</v>
      </c>
      <c r="H26" s="162">
        <f t="shared" si="66"/>
        <v>-3.839999999999975</v>
      </c>
      <c r="I26" s="162">
        <f t="shared" si="2"/>
        <v>-2.7264204848556517</v>
      </c>
      <c r="J26" s="162">
        <f t="shared" si="3"/>
        <v>-1.1135795151443235</v>
      </c>
      <c r="K26" s="163">
        <v>259.24</v>
      </c>
      <c r="L26" s="171">
        <f t="shared" ref="L26" si="88">H26/E26</f>
        <v>-1.4596320510871124E-2</v>
      </c>
      <c r="M26" s="139">
        <f t="shared" ref="M26" si="89">E26*$W$2</f>
        <v>30.385739999999998</v>
      </c>
      <c r="N26" s="140">
        <f t="shared" ref="N26" si="90">$U$2*E26</f>
        <v>10.523199999999999</v>
      </c>
      <c r="O26" s="172">
        <f t="shared" si="79"/>
        <v>-1.4596320510871126E-2</v>
      </c>
      <c r="P26" s="166">
        <f t="shared" si="80"/>
        <v>21.574037495702683</v>
      </c>
      <c r="Q26" s="137">
        <f t="shared" si="81"/>
        <v>7.4715281370398898</v>
      </c>
      <c r="R26" s="150">
        <f t="shared" ref="R26" si="91">J26/G26</f>
        <v>-1.4596320510871128E-2</v>
      </c>
      <c r="S26" s="151">
        <f t="shared" ref="S26" si="92">$W$2*G26</f>
        <v>8.8117025042973136</v>
      </c>
      <c r="T26" s="152">
        <f t="shared" ref="T26" si="93">$U$2*G26</f>
        <v>3.0516718629601089</v>
      </c>
      <c r="U26" s="1"/>
      <c r="V26" s="1"/>
      <c r="W26" s="1"/>
    </row>
    <row r="27" spans="1:23">
      <c r="A27" s="142">
        <v>45772</v>
      </c>
      <c r="B27" s="12" t="s">
        <v>10</v>
      </c>
      <c r="C27" s="160"/>
      <c r="D27" s="161"/>
      <c r="E27" s="168">
        <f t="shared" ref="E27" si="94">K26</f>
        <v>259.24</v>
      </c>
      <c r="F27" s="162">
        <f t="shared" ref="F27" si="95">F26+I26</f>
        <v>184.06178294114159</v>
      </c>
      <c r="G27" s="162">
        <f t="shared" ref="G27" si="96">G26+J26</f>
        <v>75.178217058858394</v>
      </c>
      <c r="H27" s="162">
        <f t="shared" si="66"/>
        <v>21.839999999999975</v>
      </c>
      <c r="I27" s="162">
        <f t="shared" si="2"/>
        <v>15.506516507616601</v>
      </c>
      <c r="J27" s="162">
        <f t="shared" si="3"/>
        <v>6.3334834923833734</v>
      </c>
      <c r="K27" s="163">
        <v>281.08</v>
      </c>
      <c r="L27" s="171">
        <f t="shared" ref="L27:L28" si="97">H27/E27</f>
        <v>8.4246258293473125E-2</v>
      </c>
      <c r="M27" s="139">
        <f t="shared" ref="M27" si="98">E27*$W$2</f>
        <v>29.942220000000002</v>
      </c>
      <c r="N27" s="140">
        <f t="shared" ref="N27" si="99">$U$2*E27</f>
        <v>10.3696</v>
      </c>
      <c r="O27" s="172">
        <f t="shared" si="79"/>
        <v>8.4246258293473125E-2</v>
      </c>
      <c r="P27" s="166">
        <f t="shared" si="80"/>
        <v>21.259135929701856</v>
      </c>
      <c r="Q27" s="137">
        <f t="shared" si="81"/>
        <v>7.3624713176456638</v>
      </c>
      <c r="R27" s="150">
        <f t="shared" ref="R27:R28" si="100">J27/G27</f>
        <v>8.4246258293473153E-2</v>
      </c>
      <c r="S27" s="151">
        <f t="shared" ref="S27" si="101">$W$2*G27</f>
        <v>8.6830840702981451</v>
      </c>
      <c r="T27" s="152">
        <f t="shared" ref="T27" si="102">$U$2*G27</f>
        <v>3.0071286823543359</v>
      </c>
      <c r="U27" s="1"/>
      <c r="V27" s="1"/>
      <c r="W27" s="1"/>
    </row>
    <row r="28" spans="1:23">
      <c r="A28" s="142">
        <v>45773</v>
      </c>
      <c r="B28" s="12" t="s">
        <v>10</v>
      </c>
      <c r="C28" s="160"/>
      <c r="D28" s="173">
        <v>100.65</v>
      </c>
      <c r="E28" s="168">
        <f>K27+D28</f>
        <v>381.73</v>
      </c>
      <c r="F28" s="162">
        <f>F27+I27+D28</f>
        <v>300.21829944875822</v>
      </c>
      <c r="G28" s="162">
        <f t="shared" ref="G28" si="103">G27+J27</f>
        <v>81.511700551241773</v>
      </c>
      <c r="H28" s="162">
        <f t="shared" si="66"/>
        <v>9.5999999999999659</v>
      </c>
      <c r="I28" s="162">
        <f>H28*$C$39</f>
        <v>7.5500895258640099</v>
      </c>
      <c r="J28" s="162">
        <f>H28*$C$40</f>
        <v>2.0499104741359555</v>
      </c>
      <c r="K28" s="163">
        <v>391.33</v>
      </c>
      <c r="L28" s="164">
        <f t="shared" si="97"/>
        <v>2.5148665286982855E-2</v>
      </c>
      <c r="M28" s="139">
        <f t="shared" ref="M28" si="104">E28*$W$2</f>
        <v>44.089815000000002</v>
      </c>
      <c r="N28" s="140">
        <f t="shared" ref="N28" si="105">$U$2*E28</f>
        <v>15.269200000000001</v>
      </c>
      <c r="O28" s="165">
        <f t="shared" si="79"/>
        <v>2.5148665286982855E-2</v>
      </c>
      <c r="P28" s="166">
        <f t="shared" si="80"/>
        <v>34.675213586331573</v>
      </c>
      <c r="Q28" s="137">
        <f t="shared" si="81"/>
        <v>12.00873197795033</v>
      </c>
      <c r="R28" s="121">
        <f t="shared" si="100"/>
        <v>2.5148665286982858E-2</v>
      </c>
      <c r="S28" s="151">
        <f t="shared" ref="S28" si="106">$W$2*G28</f>
        <v>9.4146014136684251</v>
      </c>
      <c r="T28" s="152">
        <f t="shared" ref="T28" si="107">$U$2*G28</f>
        <v>3.2604680220496709</v>
      </c>
      <c r="U28" s="1"/>
      <c r="V28" s="1"/>
      <c r="W28" s="1"/>
    </row>
    <row r="29" spans="1:23">
      <c r="A29" s="142">
        <v>45774</v>
      </c>
      <c r="B29" s="12" t="s">
        <v>10</v>
      </c>
      <c r="C29" s="160"/>
      <c r="D29" s="161"/>
      <c r="E29" s="168">
        <f>K28+D29</f>
        <v>391.33</v>
      </c>
      <c r="F29" s="162">
        <f>F28+I28+D29</f>
        <v>307.76838897462221</v>
      </c>
      <c r="G29" s="162">
        <f t="shared" ref="G29" si="108">G28+J28</f>
        <v>83.561611025377729</v>
      </c>
      <c r="H29" s="162">
        <f t="shared" si="66"/>
        <v>11.28000000000003</v>
      </c>
      <c r="I29" s="162">
        <f>H29*$C$39</f>
        <v>8.8713551928902667</v>
      </c>
      <c r="J29" s="162">
        <f>H29*$C$40</f>
        <v>2.4086448071097624</v>
      </c>
      <c r="K29" s="163">
        <v>402.61</v>
      </c>
      <c r="L29" s="164">
        <f t="shared" ref="L29:L30" si="109">H29/E29</f>
        <v>2.8824777042393963E-2</v>
      </c>
      <c r="M29" s="139">
        <f t="shared" ref="M29" si="110">E29*$W$2</f>
        <v>45.198615000000004</v>
      </c>
      <c r="N29" s="140">
        <f t="shared" ref="N29" si="111">$U$2*E29</f>
        <v>15.6532</v>
      </c>
      <c r="O29" s="165">
        <f t="shared" ref="O29" si="112">I29/F29</f>
        <v>2.8824777042393966E-2</v>
      </c>
      <c r="P29" s="166">
        <f t="shared" si="80"/>
        <v>35.547248926568869</v>
      </c>
      <c r="Q29" s="137">
        <f t="shared" si="81"/>
        <v>12.310735558984888</v>
      </c>
      <c r="R29" s="121">
        <f t="shared" ref="R29" si="113">J29/G29</f>
        <v>2.8824777042393966E-2</v>
      </c>
      <c r="S29" s="151">
        <f t="shared" ref="S29" si="114">$W$2*G29</f>
        <v>9.6513660734311291</v>
      </c>
      <c r="T29" s="152">
        <f t="shared" ref="T29" si="115">$U$2*G29</f>
        <v>3.3424644410151094</v>
      </c>
      <c r="U29" s="1"/>
      <c r="V29" s="1"/>
      <c r="W29" s="1"/>
    </row>
    <row r="30" spans="1:23">
      <c r="A30" s="142">
        <v>45775</v>
      </c>
      <c r="B30" s="12" t="s">
        <v>10</v>
      </c>
      <c r="C30" s="160"/>
      <c r="D30" s="161"/>
      <c r="E30" s="168">
        <f>K29+D30</f>
        <v>402.61</v>
      </c>
      <c r="F30" s="162">
        <f>F29+I29+D30</f>
        <v>316.6397441675125</v>
      </c>
      <c r="G30" s="162">
        <f t="shared" ref="G30" si="116">G29+J29</f>
        <v>85.970255832487496</v>
      </c>
      <c r="H30" s="162">
        <f t="shared" si="66"/>
        <v>10.560000000000002</v>
      </c>
      <c r="I30" s="162">
        <f>H30*$C$39</f>
        <v>8.3050984784504429</v>
      </c>
      <c r="J30" s="162">
        <f>H30*$C$40</f>
        <v>2.2549015215495594</v>
      </c>
      <c r="K30" s="163">
        <v>413.17</v>
      </c>
      <c r="L30" s="164">
        <f t="shared" si="109"/>
        <v>2.6228856709967469E-2</v>
      </c>
      <c r="M30" s="139">
        <f t="shared" ref="M30" si="117">E30*$W$2</f>
        <v>46.501455000000007</v>
      </c>
      <c r="N30" s="140">
        <f t="shared" ref="N30" si="118">$U$2*E30</f>
        <v>16.104400000000002</v>
      </c>
      <c r="O30" s="165">
        <f t="shared" ref="O30" si="119">I30/F30</f>
        <v>2.6228856709967469E-2</v>
      </c>
      <c r="P30" s="166">
        <f t="shared" ref="P30" si="120">F30*$W$2</f>
        <v>36.571890451347699</v>
      </c>
      <c r="Q30" s="137">
        <f t="shared" ref="Q30" si="121">F30*$U$2</f>
        <v>12.665589766700501</v>
      </c>
      <c r="R30" s="121">
        <f t="shared" ref="R30" si="122">J30/G30</f>
        <v>2.6228856709967465E-2</v>
      </c>
      <c r="S30" s="151">
        <f t="shared" ref="S30" si="123">$W$2*G30</f>
        <v>9.9295645486523068</v>
      </c>
      <c r="T30" s="152">
        <f t="shared" ref="T30" si="124">$U$2*G30</f>
        <v>3.4388102332994999</v>
      </c>
      <c r="U30" s="1"/>
      <c r="V30" s="1"/>
      <c r="W30" s="1"/>
    </row>
    <row r="31" spans="1:23">
      <c r="A31" s="142">
        <v>45776</v>
      </c>
      <c r="B31" s="175"/>
      <c r="C31" s="176"/>
      <c r="D31" s="161"/>
      <c r="E31" s="168">
        <f>K30+D31</f>
        <v>413.17</v>
      </c>
      <c r="F31" s="162">
        <f>F30+I30+D31</f>
        <v>324.94484264596292</v>
      </c>
      <c r="G31" s="162">
        <f t="shared" ref="G31" si="125">G30+J30</f>
        <v>88.225157354037052</v>
      </c>
      <c r="H31" s="162">
        <f t="shared" ref="H31" si="126">K31-E31</f>
        <v>0</v>
      </c>
      <c r="I31" s="162">
        <f>H31*$C$39</f>
        <v>0</v>
      </c>
      <c r="J31" s="162">
        <f>H31*$C$40</f>
        <v>0</v>
      </c>
      <c r="K31" s="163">
        <v>413.17</v>
      </c>
      <c r="L31" s="164">
        <f t="shared" ref="L31:L32" si="127">H31/E31</f>
        <v>0</v>
      </c>
      <c r="M31" s="139">
        <f t="shared" ref="M31:M32" si="128">E31*$W$2</f>
        <v>47.721135000000004</v>
      </c>
      <c r="N31" s="140">
        <f t="shared" ref="N31:N32" si="129">$U$2*E31</f>
        <v>16.526800000000001</v>
      </c>
      <c r="O31" s="165">
        <f t="shared" ref="O31:O32" si="130">I31/F31</f>
        <v>0</v>
      </c>
      <c r="P31" s="166">
        <f t="shared" ref="P31:P32" si="131">F31*$W$2</f>
        <v>37.531129325608717</v>
      </c>
      <c r="Q31" s="137">
        <f t="shared" ref="Q31:Q32" si="132">F31*$U$2</f>
        <v>12.997793705838518</v>
      </c>
      <c r="R31" s="121">
        <f t="shared" ref="R31:R32" si="133">J31/G31</f>
        <v>0</v>
      </c>
      <c r="S31" s="151">
        <f t="shared" ref="S31:S32" si="134">$W$2*G31</f>
        <v>10.19000567439128</v>
      </c>
      <c r="T31" s="152">
        <f t="shared" ref="T31:T32" si="135">$U$2*G31</f>
        <v>3.5290062941614821</v>
      </c>
      <c r="U31" s="1"/>
      <c r="V31" s="1"/>
      <c r="W31" s="1"/>
    </row>
    <row r="32" spans="1:23">
      <c r="A32" s="142">
        <v>45777</v>
      </c>
      <c r="B32" s="175"/>
      <c r="C32" s="176"/>
      <c r="D32" s="161"/>
      <c r="E32" s="162">
        <f>K31+D32</f>
        <v>413.17</v>
      </c>
      <c r="F32" s="162">
        <f>F31+I31+D32</f>
        <v>324.94484264596292</v>
      </c>
      <c r="G32" s="162">
        <f t="shared" ref="G32" si="136">G31+J31</f>
        <v>88.225157354037052</v>
      </c>
      <c r="H32" s="162">
        <f t="shared" ref="H32" si="137">K32-E32</f>
        <v>0</v>
      </c>
      <c r="I32" s="162">
        <f>H32*$C$39</f>
        <v>0</v>
      </c>
      <c r="J32" s="162">
        <f>H32*$C$40</f>
        <v>0</v>
      </c>
      <c r="K32" s="163">
        <v>413.17</v>
      </c>
      <c r="L32" s="164">
        <f t="shared" si="127"/>
        <v>0</v>
      </c>
      <c r="M32" s="177">
        <f t="shared" si="128"/>
        <v>47.721135000000004</v>
      </c>
      <c r="N32" s="178">
        <f t="shared" si="129"/>
        <v>16.526800000000001</v>
      </c>
      <c r="O32" s="179">
        <f t="shared" si="130"/>
        <v>0</v>
      </c>
      <c r="P32" s="180">
        <f t="shared" si="131"/>
        <v>37.531129325608717</v>
      </c>
      <c r="Q32" s="152">
        <f t="shared" si="132"/>
        <v>12.997793705838518</v>
      </c>
      <c r="R32" s="150">
        <f t="shared" si="133"/>
        <v>0</v>
      </c>
      <c r="S32" s="151">
        <f t="shared" si="134"/>
        <v>10.19000567439128</v>
      </c>
      <c r="T32" s="152">
        <f t="shared" si="135"/>
        <v>3.5290062941614821</v>
      </c>
      <c r="U32" s="1"/>
      <c r="V32" s="1"/>
      <c r="W32" s="1"/>
    </row>
    <row r="33" spans="1:23" ht="16" thickBot="1">
      <c r="A33" s="79" t="s">
        <v>23</v>
      </c>
      <c r="B33" s="153">
        <f>COUNTA(B2:B32)</f>
        <v>15</v>
      </c>
      <c r="C33" s="154">
        <f>COUNTA(C2:C32)</f>
        <v>8</v>
      </c>
      <c r="D33" s="102"/>
      <c r="E33" s="6"/>
      <c r="F33" s="6"/>
      <c r="G33" s="6"/>
      <c r="H33" s="155" t="s">
        <v>44</v>
      </c>
      <c r="I33" s="192">
        <f>SUM(I2:I32)</f>
        <v>0.40484264596297237</v>
      </c>
      <c r="J33" s="192">
        <f>SUM(J2:J32)</f>
        <v>-9.6248426459629393</v>
      </c>
      <c r="K33" s="157" t="s">
        <v>19</v>
      </c>
      <c r="L33" s="158">
        <f>SUM(L2:L32)/SUM(B33,C33)</f>
        <v>-3.4664041228352449E-4</v>
      </c>
      <c r="M33" s="138"/>
      <c r="N33" s="138"/>
      <c r="O33" s="129"/>
      <c r="P33" s="6"/>
      <c r="Q33" s="6"/>
      <c r="R33" s="6"/>
      <c r="S33" s="6"/>
      <c r="T33" s="6"/>
      <c r="U33" s="3"/>
      <c r="V33" s="3"/>
      <c r="W33" s="3"/>
    </row>
    <row r="34" spans="1:23">
      <c r="A34" s="2"/>
      <c r="B34" s="2"/>
      <c r="C34" s="2"/>
      <c r="D34" s="2"/>
      <c r="E34" s="3"/>
      <c r="F34" s="3"/>
      <c r="G34" s="3"/>
      <c r="H34" s="3"/>
      <c r="I34" s="3"/>
      <c r="J34" s="3"/>
      <c r="K34" s="41" t="s">
        <v>30</v>
      </c>
      <c r="L34" s="128">
        <f>SUM(L2:L32)</f>
        <v>-7.9727294825210626E-3</v>
      </c>
      <c r="M34" s="138"/>
      <c r="N34" s="138"/>
      <c r="O34" s="130"/>
      <c r="P34" s="3"/>
      <c r="Q34" s="3"/>
      <c r="R34" s="3"/>
      <c r="S34" s="3"/>
      <c r="T34" s="3"/>
      <c r="U34" s="3"/>
      <c r="V34" s="3"/>
      <c r="W34" s="3"/>
    </row>
    <row r="35" spans="1:23">
      <c r="A35" s="84"/>
      <c r="B35" s="86" t="s">
        <v>28</v>
      </c>
      <c r="C35" s="2"/>
      <c r="D35" s="2"/>
      <c r="E35" s="3"/>
      <c r="F35" s="3"/>
      <c r="G35" s="3"/>
      <c r="H35" s="3"/>
      <c r="I35" s="3"/>
      <c r="J35" s="3"/>
      <c r="O35" s="4"/>
      <c r="P35" s="3"/>
      <c r="Q35" s="3"/>
      <c r="R35" s="3"/>
      <c r="S35" s="3"/>
      <c r="T35" s="3"/>
      <c r="U35" s="3"/>
      <c r="V35" s="3"/>
      <c r="W35" s="3"/>
    </row>
    <row r="36" spans="1:23">
      <c r="A36" s="85"/>
      <c r="B36" s="86" t="s">
        <v>29</v>
      </c>
      <c r="C36" s="2"/>
      <c r="D36" s="2"/>
      <c r="E36" s="3"/>
      <c r="F36" s="3"/>
      <c r="G36" s="3"/>
      <c r="H36" s="3"/>
      <c r="I36" s="3"/>
      <c r="J36" s="3"/>
      <c r="O36" s="4"/>
      <c r="P36" s="3"/>
      <c r="Q36" s="3"/>
      <c r="R36" s="3"/>
      <c r="S36" s="3"/>
      <c r="T36" s="3"/>
      <c r="U36" s="3"/>
      <c r="V36" s="3"/>
      <c r="W36" s="3"/>
    </row>
    <row r="38" spans="1:23">
      <c r="A38" s="114" t="s">
        <v>41</v>
      </c>
    </row>
    <row r="39" spans="1:23">
      <c r="A39" s="114" t="s">
        <v>42</v>
      </c>
      <c r="B39">
        <f>F6/E6</f>
        <v>0.71000533459783055</v>
      </c>
      <c r="C39">
        <f>F28/E28</f>
        <v>0.78646765894417048</v>
      </c>
    </row>
    <row r="40" spans="1:23">
      <c r="A40" s="114" t="s">
        <v>43</v>
      </c>
      <c r="B40">
        <f>1-B39</f>
        <v>0.28999466540216945</v>
      </c>
      <c r="C40">
        <f>G28/E28</f>
        <v>0.21353234105582944</v>
      </c>
    </row>
    <row r="41" spans="1:23">
      <c r="B41" s="174" t="s">
        <v>47</v>
      </c>
      <c r="C41" s="174" t="s">
        <v>48</v>
      </c>
    </row>
  </sheetData>
  <mergeCells count="10">
    <mergeCell ref="U12:W13"/>
    <mergeCell ref="U14:W15"/>
    <mergeCell ref="U16:W17"/>
    <mergeCell ref="U18:W19"/>
    <mergeCell ref="U1:V1"/>
    <mergeCell ref="U2:V3"/>
    <mergeCell ref="W2:W3"/>
    <mergeCell ref="U4:W4"/>
    <mergeCell ref="U9:W9"/>
    <mergeCell ref="U10:W11"/>
  </mergeCells>
  <conditionalFormatting sqref="L2:L32">
    <cfRule type="cellIs" dxfId="17" priority="1" operator="equal">
      <formula>0</formula>
    </cfRule>
    <cfRule type="cellIs" dxfId="16" priority="2" operator="lessThan">
      <formula>0</formula>
    </cfRule>
  </conditionalFormatting>
  <conditionalFormatting sqref="O2:O32">
    <cfRule type="colorScale" priority="3">
      <colorScale>
        <cfvo type="formula" val="0"/>
        <cfvo type="formula" val="0"/>
        <color rgb="FFFF0000"/>
        <color rgb="FF00B050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  <ignoredErrors>
    <ignoredError xmlns:x16r3="http://schemas.microsoft.com/office/spreadsheetml/2018/08/main" sqref="E4:E5 E7:E24" x16r3:misleadingFormat="1"/>
    <ignoredError sqref="E6 P1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96DB-A8AD-456C-A834-03FFCED6BAB2}">
  <dimension ref="A1:AV77"/>
  <sheetViews>
    <sheetView showGridLines="0" topLeftCell="A40" zoomScale="125" zoomScaleNormal="125" workbookViewId="0">
      <selection activeCell="N6" sqref="N6:V6"/>
    </sheetView>
  </sheetViews>
  <sheetFormatPr baseColWidth="10" defaultColWidth="8.83203125" defaultRowHeight="15"/>
  <cols>
    <col min="4" max="4" width="13.5" customWidth="1"/>
    <col min="5" max="5" width="21.6640625" bestFit="1" customWidth="1"/>
    <col min="6" max="6" width="17.5" bestFit="1" customWidth="1"/>
    <col min="7" max="7" width="12.5" bestFit="1" customWidth="1"/>
    <col min="8" max="8" width="11.1640625" bestFit="1" customWidth="1"/>
    <col min="9" max="9" width="10.6640625" bestFit="1" customWidth="1"/>
    <col min="10" max="10" width="11.83203125" bestFit="1" customWidth="1"/>
    <col min="11" max="11" width="11.5" bestFit="1" customWidth="1"/>
    <col min="12" max="12" width="12.5" bestFit="1" customWidth="1"/>
    <col min="13" max="13" width="16.5" bestFit="1" customWidth="1"/>
    <col min="14" max="14" width="9.33203125" bestFit="1" customWidth="1"/>
    <col min="15" max="15" width="10.33203125" bestFit="1" customWidth="1"/>
    <col min="16" max="16" width="9.83203125" bestFit="1" customWidth="1"/>
    <col min="17" max="17" width="13" bestFit="1" customWidth="1"/>
    <col min="18" max="18" width="10" bestFit="1" customWidth="1"/>
    <col min="19" max="19" width="9.5" bestFit="1" customWidth="1"/>
    <col min="20" max="20" width="14" bestFit="1" customWidth="1"/>
    <col min="21" max="21" width="9.5" bestFit="1" customWidth="1"/>
    <col min="22" max="22" width="10.1640625" bestFit="1" customWidth="1"/>
    <col min="23" max="23" width="8.83203125" bestFit="1" customWidth="1"/>
    <col min="24" max="24" width="11" bestFit="1" customWidth="1"/>
    <col min="25" max="25" width="12.6640625" bestFit="1" customWidth="1"/>
    <col min="26" max="26" width="10.6640625" customWidth="1"/>
    <col min="27" max="27" width="14.6640625" customWidth="1"/>
    <col min="28" max="28" width="10.1640625" bestFit="1" customWidth="1"/>
  </cols>
  <sheetData>
    <row r="1" spans="1:48" ht="17" customHeight="1" thickBot="1">
      <c r="A1" s="239" t="s">
        <v>0</v>
      </c>
      <c r="B1" s="105" t="s">
        <v>1</v>
      </c>
      <c r="C1" s="106" t="s">
        <v>2</v>
      </c>
      <c r="D1" s="107" t="s">
        <v>32</v>
      </c>
      <c r="E1" s="237" t="s">
        <v>115</v>
      </c>
      <c r="F1" s="238" t="s">
        <v>116</v>
      </c>
      <c r="G1" s="103" t="s">
        <v>13</v>
      </c>
      <c r="H1" s="103" t="s">
        <v>35</v>
      </c>
      <c r="I1" s="103" t="s">
        <v>31</v>
      </c>
      <c r="J1" s="115" t="s">
        <v>45</v>
      </c>
      <c r="K1" s="23" t="s">
        <v>36</v>
      </c>
      <c r="L1" s="23" t="s">
        <v>33</v>
      </c>
      <c r="M1" s="24" t="s">
        <v>39</v>
      </c>
      <c r="N1" s="122" t="s">
        <v>16</v>
      </c>
      <c r="O1" s="123" t="s">
        <v>3</v>
      </c>
      <c r="P1" s="122" t="s">
        <v>4</v>
      </c>
      <c r="Q1" s="25" t="s">
        <v>37</v>
      </c>
      <c r="R1" s="26" t="s">
        <v>3</v>
      </c>
      <c r="S1" s="125" t="s">
        <v>4</v>
      </c>
      <c r="T1" s="119" t="s">
        <v>38</v>
      </c>
      <c r="U1" s="98" t="s">
        <v>3</v>
      </c>
      <c r="V1" s="97" t="s">
        <v>34</v>
      </c>
      <c r="W1" s="342" t="s">
        <v>17</v>
      </c>
      <c r="X1" s="308"/>
      <c r="Y1" s="33" t="s">
        <v>5</v>
      </c>
      <c r="Z1" s="201"/>
      <c r="AA1" s="366" t="s">
        <v>143</v>
      </c>
      <c r="AB1" s="366"/>
      <c r="AC1" s="201"/>
      <c r="AD1" s="348" t="s">
        <v>104</v>
      </c>
      <c r="AE1" s="348"/>
      <c r="AF1" s="348"/>
      <c r="AG1" s="348"/>
      <c r="AH1" s="348"/>
      <c r="AI1" s="348"/>
      <c r="AJ1" s="348"/>
      <c r="AK1" s="348"/>
      <c r="AL1" s="348"/>
      <c r="AM1" s="348"/>
      <c r="AN1" s="348"/>
      <c r="AO1" s="348"/>
      <c r="AP1" s="348"/>
      <c r="AQ1" s="348"/>
      <c r="AR1" s="348"/>
      <c r="AS1" s="348"/>
      <c r="AT1" s="348"/>
      <c r="AU1" s="201"/>
      <c r="AV1" s="201"/>
    </row>
    <row r="2" spans="1:48" ht="15" customHeight="1">
      <c r="A2" s="186">
        <v>45778</v>
      </c>
      <c r="B2" s="68"/>
      <c r="C2" s="69"/>
      <c r="D2" s="99"/>
      <c r="E2" s="245"/>
      <c r="F2" s="240"/>
      <c r="G2" s="88">
        <v>413.17</v>
      </c>
      <c r="H2" s="93">
        <v>324.94</v>
      </c>
      <c r="I2" s="117">
        <v>88.23</v>
      </c>
      <c r="J2" s="118">
        <f>M2-G2</f>
        <v>0</v>
      </c>
      <c r="K2" s="94">
        <f>M2-G2</f>
        <v>0</v>
      </c>
      <c r="L2" s="94">
        <v>0</v>
      </c>
      <c r="M2" s="182">
        <v>413.17</v>
      </c>
      <c r="N2" s="127">
        <f t="shared" ref="N2:N5" si="0">J2/G2</f>
        <v>0</v>
      </c>
      <c r="O2" s="124" t="s">
        <v>46</v>
      </c>
      <c r="P2" s="126" t="s">
        <v>46</v>
      </c>
      <c r="Q2" s="82">
        <f>K2/H2</f>
        <v>0</v>
      </c>
      <c r="R2" s="124" t="s">
        <v>46</v>
      </c>
      <c r="S2" s="126" t="s">
        <v>46</v>
      </c>
      <c r="T2" s="219" t="s">
        <v>46</v>
      </c>
      <c r="U2" s="136" t="s">
        <v>46</v>
      </c>
      <c r="V2" s="137" t="s">
        <v>46</v>
      </c>
      <c r="W2" s="364">
        <v>2.3E-2</v>
      </c>
      <c r="X2" s="365"/>
      <c r="Y2" s="251">
        <f>X8</f>
        <v>-0.105</v>
      </c>
      <c r="Z2" s="201"/>
      <c r="AA2" s="366"/>
      <c r="AB2" s="366"/>
      <c r="AC2" s="201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201"/>
      <c r="AV2" s="201"/>
    </row>
    <row r="3" spans="1:48" ht="19">
      <c r="A3" s="186">
        <v>45779</v>
      </c>
      <c r="B3" s="68"/>
      <c r="C3" s="69"/>
      <c r="D3" s="101"/>
      <c r="E3" s="246"/>
      <c r="F3" s="241"/>
      <c r="G3" s="89">
        <f>M2+D3</f>
        <v>413.17</v>
      </c>
      <c r="H3" s="94">
        <f>H2+K2</f>
        <v>324.94</v>
      </c>
      <c r="I3" s="94">
        <v>0</v>
      </c>
      <c r="J3" s="93">
        <f>M3-G3</f>
        <v>0</v>
      </c>
      <c r="K3" s="94">
        <f>J3*$B$40</f>
        <v>0</v>
      </c>
      <c r="L3" s="94">
        <f>J3*$B$41</f>
        <v>0</v>
      </c>
      <c r="M3" s="182">
        <v>413.17</v>
      </c>
      <c r="N3" s="127">
        <f t="shared" si="0"/>
        <v>0</v>
      </c>
      <c r="O3" s="124" t="s">
        <v>46</v>
      </c>
      <c r="P3" s="126" t="s">
        <v>46</v>
      </c>
      <c r="Q3" s="82">
        <f>K3/G3</f>
        <v>0</v>
      </c>
      <c r="R3" s="124" t="s">
        <v>46</v>
      </c>
      <c r="S3" s="126" t="s">
        <v>46</v>
      </c>
      <c r="T3" s="219" t="s">
        <v>46</v>
      </c>
      <c r="U3" s="136" t="s">
        <v>46</v>
      </c>
      <c r="V3" s="137" t="s">
        <v>46</v>
      </c>
      <c r="W3" s="345" t="s">
        <v>11</v>
      </c>
      <c r="X3" s="317"/>
      <c r="Y3" s="317"/>
      <c r="Z3" s="201"/>
      <c r="AA3" s="252" t="s">
        <v>119</v>
      </c>
      <c r="AB3" s="252" t="s">
        <v>148</v>
      </c>
      <c r="AC3" s="201"/>
      <c r="AD3" s="348"/>
      <c r="AE3" s="348"/>
      <c r="AF3" s="348"/>
      <c r="AG3" s="348"/>
      <c r="AH3" s="348"/>
      <c r="AI3" s="348"/>
      <c r="AJ3" s="348"/>
      <c r="AK3" s="348"/>
      <c r="AL3" s="348"/>
      <c r="AM3" s="348"/>
      <c r="AN3" s="348"/>
      <c r="AO3" s="348"/>
      <c r="AP3" s="348"/>
      <c r="AQ3" s="348"/>
      <c r="AR3" s="348"/>
      <c r="AS3" s="348"/>
      <c r="AT3" s="348"/>
      <c r="AU3" s="201"/>
      <c r="AV3" s="201"/>
    </row>
    <row r="4" spans="1:48" ht="19">
      <c r="A4" s="186">
        <v>45780</v>
      </c>
      <c r="B4" s="68"/>
      <c r="C4" s="69"/>
      <c r="D4" s="100"/>
      <c r="E4" s="246"/>
      <c r="F4" s="241"/>
      <c r="G4" s="88">
        <v>413.17</v>
      </c>
      <c r="H4" s="93">
        <v>324.94</v>
      </c>
      <c r="I4" s="117">
        <v>88.23</v>
      </c>
      <c r="J4" s="118">
        <f t="shared" ref="J4:J5" si="1">M4-G4</f>
        <v>0</v>
      </c>
      <c r="K4" s="94">
        <f t="shared" ref="K4:K9" si="2">J4*$B$40</f>
        <v>0</v>
      </c>
      <c r="L4" s="94">
        <f t="shared" ref="L4:L5" si="3">J4*$B$41</f>
        <v>0</v>
      </c>
      <c r="M4" s="182">
        <v>413.17</v>
      </c>
      <c r="N4" s="127">
        <f t="shared" si="0"/>
        <v>0</v>
      </c>
      <c r="O4" s="124" t="s">
        <v>46</v>
      </c>
      <c r="P4" s="126" t="s">
        <v>46</v>
      </c>
      <c r="Q4" s="82">
        <f>K4/G4</f>
        <v>0</v>
      </c>
      <c r="R4" s="124" t="s">
        <v>46</v>
      </c>
      <c r="S4" s="126" t="s">
        <v>46</v>
      </c>
      <c r="T4" s="219" t="s">
        <v>46</v>
      </c>
      <c r="U4" s="136" t="s">
        <v>46</v>
      </c>
      <c r="V4" s="137" t="s">
        <v>46</v>
      </c>
      <c r="W4" s="95" t="s">
        <v>138</v>
      </c>
      <c r="X4" s="77">
        <v>1.15E-2</v>
      </c>
      <c r="Y4" s="110">
        <f>X4*G20</f>
        <v>5.3837249999999992</v>
      </c>
      <c r="Z4" s="201"/>
      <c r="AA4" s="253" t="s">
        <v>144</v>
      </c>
      <c r="AB4" s="254">
        <f>- (3.6/G20)</f>
        <v>-7.6898429990387698E-3</v>
      </c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</row>
    <row r="5" spans="1:48" ht="19">
      <c r="A5" s="186">
        <v>45781</v>
      </c>
      <c r="B5" s="68"/>
      <c r="C5" s="69"/>
      <c r="D5" s="100"/>
      <c r="E5" s="246"/>
      <c r="F5" s="241"/>
      <c r="G5" s="88">
        <v>413.17</v>
      </c>
      <c r="H5" s="93">
        <v>324.94</v>
      </c>
      <c r="I5" s="117">
        <v>88.23</v>
      </c>
      <c r="J5" s="118">
        <f t="shared" si="1"/>
        <v>0</v>
      </c>
      <c r="K5" s="94">
        <f t="shared" si="2"/>
        <v>0</v>
      </c>
      <c r="L5" s="94">
        <f t="shared" si="3"/>
        <v>0</v>
      </c>
      <c r="M5" s="182">
        <v>413.17</v>
      </c>
      <c r="N5" s="127">
        <f t="shared" si="0"/>
        <v>0</v>
      </c>
      <c r="O5" s="124" t="s">
        <v>46</v>
      </c>
      <c r="P5" s="126" t="s">
        <v>46</v>
      </c>
      <c r="Q5" s="82">
        <f>K5/G5</f>
        <v>0</v>
      </c>
      <c r="R5" s="147" t="s">
        <v>46</v>
      </c>
      <c r="S5" s="126" t="s">
        <v>46</v>
      </c>
      <c r="T5" s="219" t="s">
        <v>46</v>
      </c>
      <c r="U5" s="136" t="s">
        <v>46</v>
      </c>
      <c r="V5" s="137" t="s">
        <v>46</v>
      </c>
      <c r="W5" s="95" t="s">
        <v>139</v>
      </c>
      <c r="X5" s="77">
        <v>2.3E-2</v>
      </c>
      <c r="Y5" s="110">
        <f>G20*X5</f>
        <v>10.767449999999998</v>
      </c>
      <c r="Z5" s="201"/>
      <c r="AA5" s="253" t="s">
        <v>145</v>
      </c>
      <c r="AB5" s="254">
        <f>-(7.8/G20)</f>
        <v>-1.6661326497917333E-2</v>
      </c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1"/>
      <c r="AQ5" s="201"/>
      <c r="AR5" s="201"/>
      <c r="AS5" s="201"/>
      <c r="AT5" s="201"/>
      <c r="AU5" s="201"/>
      <c r="AV5" s="201"/>
    </row>
    <row r="6" spans="1:48" ht="19">
      <c r="A6" s="80">
        <v>45782</v>
      </c>
      <c r="B6" s="12" t="s">
        <v>10</v>
      </c>
      <c r="C6" s="13"/>
      <c r="D6" s="101"/>
      <c r="E6" s="246"/>
      <c r="F6" s="241"/>
      <c r="G6" s="89">
        <f>M5</f>
        <v>413.17</v>
      </c>
      <c r="H6" s="94">
        <f t="shared" ref="H6:I9" si="4">H5+K5</f>
        <v>324.94</v>
      </c>
      <c r="I6" s="94">
        <f t="shared" si="4"/>
        <v>88.23</v>
      </c>
      <c r="J6" s="118">
        <f t="shared" ref="J6:J9" si="5">M6-G6</f>
        <v>7.2799999999999727</v>
      </c>
      <c r="K6" s="94">
        <f t="shared" si="2"/>
        <v>5.725501599999979</v>
      </c>
      <c r="L6" s="94">
        <f t="shared" ref="L6:L9" si="6">J6*$B$41</f>
        <v>1.5544983999999942</v>
      </c>
      <c r="M6" s="183">
        <v>420.45</v>
      </c>
      <c r="N6" s="127">
        <f>J6/G6</f>
        <v>1.7619865914756571E-2</v>
      </c>
      <c r="O6" s="124">
        <f>G6*$Y$2</f>
        <v>-43.382849999999998</v>
      </c>
      <c r="P6" s="126">
        <f>$W$2*G6</f>
        <v>9.50291</v>
      </c>
      <c r="Q6" s="187">
        <f>K6/H6</f>
        <v>1.762018095648421E-2</v>
      </c>
      <c r="R6" s="166">
        <f>H6*Y2</f>
        <v>-34.118699999999997</v>
      </c>
      <c r="S6" s="181">
        <f>H6*W2</f>
        <v>7.4736199999999995</v>
      </c>
      <c r="T6" s="121">
        <f>L6/I6</f>
        <v>1.7618705655672608E-2</v>
      </c>
      <c r="U6" s="136">
        <f>$Y$2*I6</f>
        <v>-9.2641500000000008</v>
      </c>
      <c r="V6" s="137">
        <f>$W$2*I6</f>
        <v>2.02929</v>
      </c>
      <c r="W6" s="95" t="s">
        <v>140</v>
      </c>
      <c r="X6" s="77">
        <f>X4+(AVERAGE(AB4:AB5))</f>
        <v>-6.7558474847805201E-4</v>
      </c>
      <c r="Y6" s="110">
        <f>X6*G20</f>
        <v>-0.31627500000000003</v>
      </c>
      <c r="Z6" s="201"/>
      <c r="AA6" s="253" t="s">
        <v>146</v>
      </c>
      <c r="AB6" s="255">
        <f>-(13.1/G20)</f>
        <v>-2.7982484246502189E-2</v>
      </c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</row>
    <row r="7" spans="1:48" ht="19">
      <c r="A7" s="80">
        <v>45783</v>
      </c>
      <c r="B7" s="12" t="s">
        <v>10</v>
      </c>
      <c r="C7" s="13"/>
      <c r="D7" s="100"/>
      <c r="E7" s="246"/>
      <c r="F7" s="241"/>
      <c r="G7" s="89">
        <f>M6</f>
        <v>420.45</v>
      </c>
      <c r="H7" s="94">
        <f t="shared" si="4"/>
        <v>330.66550159999997</v>
      </c>
      <c r="I7" s="94">
        <f t="shared" si="4"/>
        <v>89.784498400000004</v>
      </c>
      <c r="J7" s="93">
        <f t="shared" si="5"/>
        <v>17.28000000000003</v>
      </c>
      <c r="K7" s="94">
        <f t="shared" si="2"/>
        <v>13.590201600000023</v>
      </c>
      <c r="L7" s="94">
        <f t="shared" si="6"/>
        <v>3.6897984000000061</v>
      </c>
      <c r="M7" s="182">
        <v>437.73</v>
      </c>
      <c r="N7" s="127">
        <f>J7/G7</f>
        <v>4.1098822689975098E-2</v>
      </c>
      <c r="O7" s="124">
        <f t="shared" ref="O7" si="7">G7*$Y$2</f>
        <v>-44.14725</v>
      </c>
      <c r="P7" s="126">
        <f t="shared" ref="P7" si="8">$W$2*G7</f>
        <v>9.6703499999999991</v>
      </c>
      <c r="Q7" s="188">
        <f t="shared" ref="Q7" si="9">K7/H7</f>
        <v>4.109954480960594E-2</v>
      </c>
      <c r="R7" s="166">
        <f>G7*$Y$2</f>
        <v>-44.14725</v>
      </c>
      <c r="S7" s="189">
        <f>H7*$W$2</f>
        <v>7.6053065367999988</v>
      </c>
      <c r="T7" s="121">
        <f t="shared" ref="T7" si="10">L7/I7</f>
        <v>4.1096163210285371E-2</v>
      </c>
      <c r="U7" s="136">
        <f t="shared" ref="U7" si="11">$Y$2*I7</f>
        <v>-9.4273723320000009</v>
      </c>
      <c r="V7" s="137">
        <f t="shared" ref="V7" si="12">$W$2*I7</f>
        <v>2.0650434631999999</v>
      </c>
      <c r="W7" s="96" t="s">
        <v>141</v>
      </c>
      <c r="X7" s="78">
        <f>AB4*2</f>
        <v>-1.537968599807754E-2</v>
      </c>
      <c r="Y7" s="110">
        <f>G20*X7</f>
        <v>-7.2</v>
      </c>
      <c r="Z7" s="201"/>
      <c r="AA7" s="253" t="s">
        <v>147</v>
      </c>
      <c r="AB7" s="255">
        <f>-(20.5/G20)</f>
        <v>-4.3789383744526331E-2</v>
      </c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1"/>
      <c r="AU7" s="201"/>
      <c r="AV7" s="201"/>
    </row>
    <row r="8" spans="1:48" ht="19">
      <c r="A8" s="186">
        <v>45784</v>
      </c>
      <c r="B8" s="68"/>
      <c r="C8" s="69"/>
      <c r="D8" s="100"/>
      <c r="E8" s="246"/>
      <c r="F8" s="241"/>
      <c r="G8" s="89">
        <f>M7</f>
        <v>437.73</v>
      </c>
      <c r="H8" s="94">
        <f t="shared" si="4"/>
        <v>344.25570319999997</v>
      </c>
      <c r="I8" s="94">
        <f t="shared" si="4"/>
        <v>93.474296800000005</v>
      </c>
      <c r="J8" s="93">
        <f t="shared" si="5"/>
        <v>0</v>
      </c>
      <c r="K8" s="94">
        <f t="shared" si="2"/>
        <v>0</v>
      </c>
      <c r="L8" s="94">
        <f t="shared" si="6"/>
        <v>0</v>
      </c>
      <c r="M8" s="182">
        <v>437.73</v>
      </c>
      <c r="N8" s="127">
        <f>J8/G8</f>
        <v>0</v>
      </c>
      <c r="O8" s="124">
        <f t="shared" ref="O8" si="13">G8*$Y$2</f>
        <v>-45.961649999999999</v>
      </c>
      <c r="P8" s="126">
        <f t="shared" ref="P8" si="14">$W$2*G8</f>
        <v>10.06779</v>
      </c>
      <c r="Q8" s="188">
        <f t="shared" ref="Q8" si="15">K8/H8</f>
        <v>0</v>
      </c>
      <c r="R8" s="166">
        <f>G8*$Y$2</f>
        <v>-45.961649999999999</v>
      </c>
      <c r="S8" s="189">
        <f>H8*$W$2</f>
        <v>7.9178811735999988</v>
      </c>
      <c r="T8" s="121">
        <f t="shared" ref="T8" si="16">L8/I8</f>
        <v>0</v>
      </c>
      <c r="U8" s="136">
        <f t="shared" ref="U8" si="17">$Y$2*I8</f>
        <v>-9.8148011640000004</v>
      </c>
      <c r="V8" s="137">
        <f t="shared" ref="V8" si="18">$W$2*I8</f>
        <v>2.1499088263999999</v>
      </c>
      <c r="W8" s="96" t="s">
        <v>142</v>
      </c>
      <c r="X8" s="78">
        <v>-0.105</v>
      </c>
      <c r="Y8" s="256">
        <f>X8*G20</f>
        <v>-49.155749999999998</v>
      </c>
      <c r="Z8" s="201"/>
      <c r="AA8" s="367" t="s">
        <v>150</v>
      </c>
      <c r="AB8" s="367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</row>
    <row r="9" spans="1:48" ht="21">
      <c r="A9" s="80">
        <v>45785</v>
      </c>
      <c r="B9" s="12"/>
      <c r="C9" s="13" t="s">
        <v>9</v>
      </c>
      <c r="D9" s="100"/>
      <c r="E9" s="246"/>
      <c r="F9" s="241"/>
      <c r="G9" s="89">
        <f>M8</f>
        <v>437.73</v>
      </c>
      <c r="H9" s="94">
        <f t="shared" si="4"/>
        <v>344.25570319999997</v>
      </c>
      <c r="I9" s="94">
        <f t="shared" si="4"/>
        <v>93.474296800000005</v>
      </c>
      <c r="J9" s="93">
        <f t="shared" si="5"/>
        <v>-43.600000000000023</v>
      </c>
      <c r="K9" s="94">
        <f t="shared" si="2"/>
        <v>-34.290092000000016</v>
      </c>
      <c r="L9" s="94">
        <f t="shared" si="6"/>
        <v>-9.3099080000000054</v>
      </c>
      <c r="M9" s="182">
        <v>394.13</v>
      </c>
      <c r="N9" s="127">
        <f>J9/G9</f>
        <v>-9.9604779201791102E-2</v>
      </c>
      <c r="O9" s="124">
        <f t="shared" ref="O9" si="19">G9*$Y$2</f>
        <v>-45.961649999999999</v>
      </c>
      <c r="P9" s="126">
        <f>$W$2*G9</f>
        <v>10.06779</v>
      </c>
      <c r="Q9" s="188">
        <f t="shared" ref="Q9" si="20">K9/H9</f>
        <v>-9.9606460201702815E-2</v>
      </c>
      <c r="R9" s="166">
        <f>G9*$Y$2</f>
        <v>-45.961649999999999</v>
      </c>
      <c r="S9" s="189">
        <f>H9*$W$2</f>
        <v>7.9178811735999988</v>
      </c>
      <c r="T9" s="121">
        <f t="shared" ref="T9" si="21">L9/I9</f>
        <v>-9.9598588261324103E-2</v>
      </c>
      <c r="U9" s="136">
        <f t="shared" ref="U9" si="22">$Y$2*I9</f>
        <v>-9.8148011640000004</v>
      </c>
      <c r="V9" s="137">
        <f t="shared" ref="V9" si="23">$W$2*I9</f>
        <v>2.1499088263999999</v>
      </c>
      <c r="W9" s="334" t="s">
        <v>4</v>
      </c>
      <c r="X9" s="334"/>
      <c r="Y9" s="335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</row>
    <row r="10" spans="1:48" ht="19.75" customHeight="1">
      <c r="A10" s="80">
        <v>45786</v>
      </c>
      <c r="B10" s="12" t="s">
        <v>10</v>
      </c>
      <c r="C10" s="13"/>
      <c r="D10" s="100"/>
      <c r="E10" s="246"/>
      <c r="F10" s="241"/>
      <c r="G10" s="89">
        <f>M9</f>
        <v>394.13</v>
      </c>
      <c r="H10" s="94">
        <f t="shared" ref="H10" si="24">H9+K9</f>
        <v>309.96561119999996</v>
      </c>
      <c r="I10" s="94">
        <f t="shared" ref="I10" si="25">I9+L9</f>
        <v>84.164388799999998</v>
      </c>
      <c r="J10" s="93">
        <f t="shared" ref="J10" si="26">M10-G10</f>
        <v>17.28000000000003</v>
      </c>
      <c r="K10" s="94">
        <f t="shared" ref="K10" si="27">J10*$B$40</f>
        <v>13.590201600000023</v>
      </c>
      <c r="L10" s="94">
        <f t="shared" ref="L10" si="28">J10*$B$41</f>
        <v>3.6897984000000061</v>
      </c>
      <c r="M10" s="182">
        <v>411.41</v>
      </c>
      <c r="N10" s="127">
        <f>J10/G10</f>
        <v>4.3843401923223377E-2</v>
      </c>
      <c r="O10" s="124">
        <f t="shared" ref="O10" si="29">G10*$Y$2</f>
        <v>-41.383649999999996</v>
      </c>
      <c r="P10" s="126">
        <f>$W$2*G10</f>
        <v>9.0649899999999999</v>
      </c>
      <c r="Q10" s="188">
        <f t="shared" ref="Q10" si="30">K10/H10</f>
        <v>4.3844223710452775E-2</v>
      </c>
      <c r="R10" s="166">
        <f>G10*$Y$2</f>
        <v>-41.383649999999996</v>
      </c>
      <c r="S10" s="189">
        <f>H10*$W$2</f>
        <v>7.1292090575999989</v>
      </c>
      <c r="T10" s="121">
        <f t="shared" ref="T10" si="31">L10/I10</f>
        <v>4.3840375396393377E-2</v>
      </c>
      <c r="U10" s="136">
        <f t="shared" ref="U10" si="32">$Y$2*I10</f>
        <v>-8.8372608239999995</v>
      </c>
      <c r="V10" s="137">
        <f t="shared" ref="V10" si="33">$W$2*I10</f>
        <v>1.9357809423999999</v>
      </c>
      <c r="W10" s="338">
        <v>50</v>
      </c>
      <c r="X10" s="346"/>
      <c r="Y10" s="346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</row>
    <row r="11" spans="1:48" ht="19.75" customHeight="1">
      <c r="A11" s="186">
        <v>45787</v>
      </c>
      <c r="B11" s="68"/>
      <c r="C11" s="69"/>
      <c r="D11" s="100"/>
      <c r="E11" s="246"/>
      <c r="F11" s="241"/>
      <c r="G11" s="89">
        <f t="shared" ref="G11:G12" si="34">M10</f>
        <v>411.41</v>
      </c>
      <c r="H11" s="94">
        <f t="shared" ref="H11:H12" si="35">H10+K10</f>
        <v>323.55581279999996</v>
      </c>
      <c r="I11" s="94">
        <f t="shared" ref="I11:I12" si="36">I10+L10</f>
        <v>87.854187199999998</v>
      </c>
      <c r="J11" s="93">
        <f t="shared" ref="J11:J12" si="37">M11-G11</f>
        <v>0</v>
      </c>
      <c r="K11" s="94">
        <f t="shared" ref="K11:K12" si="38">J11*$B$40</f>
        <v>0</v>
      </c>
      <c r="L11" s="94">
        <f t="shared" ref="L11:L12" si="39">J11*$B$41</f>
        <v>0</v>
      </c>
      <c r="M11" s="182">
        <v>411.41</v>
      </c>
      <c r="N11" s="127">
        <f t="shared" ref="N11:N12" si="40">J11/G11</f>
        <v>0</v>
      </c>
      <c r="O11" s="124">
        <f t="shared" ref="O11:O12" si="41">G11*$Y$2</f>
        <v>-43.198050000000002</v>
      </c>
      <c r="P11" s="126">
        <f t="shared" ref="P11:P12" si="42">$W$2*G11</f>
        <v>9.4624300000000012</v>
      </c>
      <c r="Q11" s="188">
        <f t="shared" ref="Q11:Q12" si="43">K11/H11</f>
        <v>0</v>
      </c>
      <c r="R11" s="166">
        <f t="shared" ref="R11:R12" si="44">G11*$Y$2</f>
        <v>-43.198050000000002</v>
      </c>
      <c r="S11" s="189">
        <f t="shared" ref="S11:S12" si="45">H11*$W$2</f>
        <v>7.4417836943999989</v>
      </c>
      <c r="T11" s="121">
        <f t="shared" ref="T11:T12" si="46">L11/I11</f>
        <v>0</v>
      </c>
      <c r="U11" s="136">
        <f t="shared" ref="U11:U12" si="47">$Y$2*I11</f>
        <v>-9.2246896559999989</v>
      </c>
      <c r="V11" s="137">
        <f t="shared" ref="V11:V12" si="48">$W$2*I11</f>
        <v>2.0206463056000001</v>
      </c>
      <c r="W11" s="347"/>
      <c r="X11" s="346"/>
      <c r="Y11" s="346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201"/>
      <c r="AT11" s="201"/>
      <c r="AU11" s="201"/>
      <c r="AV11" s="201"/>
    </row>
    <row r="12" spans="1:48" ht="19.75" customHeight="1">
      <c r="A12" s="186">
        <v>45788</v>
      </c>
      <c r="B12" s="68"/>
      <c r="C12" s="69"/>
      <c r="D12" s="100"/>
      <c r="E12" s="246"/>
      <c r="F12" s="241"/>
      <c r="G12" s="89">
        <f t="shared" si="34"/>
        <v>411.41</v>
      </c>
      <c r="H12" s="94">
        <f t="shared" si="35"/>
        <v>323.55581279999996</v>
      </c>
      <c r="I12" s="94">
        <f t="shared" si="36"/>
        <v>87.854187199999998</v>
      </c>
      <c r="J12" s="93">
        <f t="shared" si="37"/>
        <v>0</v>
      </c>
      <c r="K12" s="94">
        <f t="shared" si="38"/>
        <v>0</v>
      </c>
      <c r="L12" s="94">
        <f t="shared" si="39"/>
        <v>0</v>
      </c>
      <c r="M12" s="182">
        <v>411.41</v>
      </c>
      <c r="N12" s="127">
        <f t="shared" si="40"/>
        <v>0</v>
      </c>
      <c r="O12" s="124">
        <f t="shared" si="41"/>
        <v>-43.198050000000002</v>
      </c>
      <c r="P12" s="126">
        <f t="shared" si="42"/>
        <v>9.4624300000000012</v>
      </c>
      <c r="Q12" s="188">
        <f t="shared" si="43"/>
        <v>0</v>
      </c>
      <c r="R12" s="166">
        <f t="shared" si="44"/>
        <v>-43.198050000000002</v>
      </c>
      <c r="S12" s="189">
        <f t="shared" si="45"/>
        <v>7.4417836943999989</v>
      </c>
      <c r="T12" s="121">
        <f t="shared" si="46"/>
        <v>0</v>
      </c>
      <c r="U12" s="136">
        <f t="shared" si="47"/>
        <v>-9.2246896559999989</v>
      </c>
      <c r="V12" s="137">
        <f t="shared" si="48"/>
        <v>2.0206463056000001</v>
      </c>
      <c r="W12" s="336" t="s">
        <v>6</v>
      </c>
      <c r="X12" s="323"/>
      <c r="Y12" s="323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201"/>
      <c r="AT12" s="201"/>
      <c r="AU12" s="201"/>
      <c r="AV12" s="201"/>
    </row>
    <row r="13" spans="1:48" ht="19.75" customHeight="1">
      <c r="A13" s="80">
        <v>45789</v>
      </c>
      <c r="B13" s="12" t="s">
        <v>10</v>
      </c>
      <c r="C13" s="13"/>
      <c r="D13" s="100"/>
      <c r="E13" s="246"/>
      <c r="F13" s="241"/>
      <c r="G13" s="89">
        <f t="shared" ref="G13" si="49">M12</f>
        <v>411.41</v>
      </c>
      <c r="H13" s="94">
        <f t="shared" ref="H13" si="50">H12+K12</f>
        <v>323.55581279999996</v>
      </c>
      <c r="I13" s="94">
        <f t="shared" ref="I13" si="51">I12+L12</f>
        <v>87.854187199999998</v>
      </c>
      <c r="J13" s="93">
        <f t="shared" ref="J13" si="52">M13-G13</f>
        <v>18</v>
      </c>
      <c r="K13" s="94">
        <f t="shared" ref="K13" si="53">J13*$B$40</f>
        <v>14.156459999999999</v>
      </c>
      <c r="L13" s="94">
        <f t="shared" ref="L13" si="54">J13*$B$41</f>
        <v>3.84354</v>
      </c>
      <c r="M13" s="182">
        <v>429.41</v>
      </c>
      <c r="N13" s="127">
        <f t="shared" ref="N13:N18" si="55">J13/G13</f>
        <v>4.3751974915534377E-2</v>
      </c>
      <c r="O13" s="124">
        <f t="shared" ref="O13" si="56">G13*$Y$2</f>
        <v>-43.198050000000002</v>
      </c>
      <c r="P13" s="126">
        <f t="shared" ref="P13" si="57">$W$2*G13</f>
        <v>9.4624300000000012</v>
      </c>
      <c r="Q13" s="188">
        <f t="shared" ref="Q13" si="58">K13/H13</f>
        <v>4.3752760543821705E-2</v>
      </c>
      <c r="R13" s="166">
        <f t="shared" ref="R13" si="59">G13*$Y$2</f>
        <v>-43.198050000000002</v>
      </c>
      <c r="S13" s="189">
        <f t="shared" ref="S13" si="60">H13*$W$2</f>
        <v>7.4417836943999989</v>
      </c>
      <c r="T13" s="121">
        <f t="shared" ref="T13" si="61">L13/I13</f>
        <v>4.3749081546337498E-2</v>
      </c>
      <c r="U13" s="136">
        <f t="shared" ref="U13" si="62">$Y$2*I13</f>
        <v>-9.2246896559999989</v>
      </c>
      <c r="V13" s="137">
        <f t="shared" ref="V13" si="63">$W$2*I13</f>
        <v>2.0206463056000001</v>
      </c>
      <c r="W13" s="337"/>
      <c r="X13" s="323"/>
      <c r="Y13" s="323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201"/>
      <c r="AT13" s="201"/>
      <c r="AU13" s="201"/>
      <c r="AV13" s="201"/>
    </row>
    <row r="14" spans="1:48" ht="19.75" customHeight="1">
      <c r="A14" s="191">
        <v>45790</v>
      </c>
      <c r="B14" s="12" t="s">
        <v>10</v>
      </c>
      <c r="C14" s="13"/>
      <c r="D14" s="100"/>
      <c r="E14" s="246"/>
      <c r="F14" s="241"/>
      <c r="G14" s="89">
        <f t="shared" ref="G14" si="64">M13</f>
        <v>429.41</v>
      </c>
      <c r="H14" s="94">
        <f t="shared" ref="H14" si="65">H13+K13</f>
        <v>337.71227279999994</v>
      </c>
      <c r="I14" s="94">
        <f t="shared" ref="I14" si="66">I13+L13</f>
        <v>91.697727200000003</v>
      </c>
      <c r="J14" s="93">
        <f t="shared" ref="J14:J16" si="67">M14-G14</f>
        <v>10.479999999999961</v>
      </c>
      <c r="K14" s="94">
        <f t="shared" ref="K14:K16" si="68">J14*$B$40</f>
        <v>8.2422055999999699</v>
      </c>
      <c r="L14" s="94">
        <f t="shared" ref="L14:L16" si="69">J14*$B$41</f>
        <v>2.2377943999999919</v>
      </c>
      <c r="M14" s="182">
        <v>439.89</v>
      </c>
      <c r="N14" s="127">
        <f t="shared" si="55"/>
        <v>2.4405579748957781E-2</v>
      </c>
      <c r="O14" s="124">
        <f t="shared" ref="O14" si="70">G14*$Y$2</f>
        <v>-45.088050000000003</v>
      </c>
      <c r="P14" s="126">
        <f t="shared" ref="P14" si="71">$W$2*G14</f>
        <v>9.8764300000000009</v>
      </c>
      <c r="Q14" s="188">
        <f t="shared" ref="Q14" si="72">K14/H14</f>
        <v>2.4405999615184762E-2</v>
      </c>
      <c r="R14" s="166">
        <f t="shared" ref="R14" si="73">G14*$Y$2</f>
        <v>-45.088050000000003</v>
      </c>
      <c r="S14" s="189">
        <f t="shared" ref="S14" si="74">H14*$W$2</f>
        <v>7.7673822743999983</v>
      </c>
      <c r="T14" s="121">
        <f t="shared" ref="T14" si="75">L14/I14</f>
        <v>2.4404033429522031E-2</v>
      </c>
      <c r="U14" s="136">
        <f t="shared" ref="U14" si="76">$Y$2*I14</f>
        <v>-9.6282613559999994</v>
      </c>
      <c r="V14" s="137">
        <f t="shared" ref="V14" si="77">$W$2*I14</f>
        <v>2.1090477256</v>
      </c>
      <c r="W14" s="338">
        <f>J33</f>
        <v>17.819999999999936</v>
      </c>
      <c r="X14" s="339"/>
      <c r="Y14" s="339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</row>
    <row r="15" spans="1:48" ht="19.75" customHeight="1">
      <c r="A15" s="191">
        <v>45791</v>
      </c>
      <c r="B15" s="12" t="s">
        <v>10</v>
      </c>
      <c r="C15" s="13"/>
      <c r="D15" s="100"/>
      <c r="E15" s="246"/>
      <c r="F15" s="241"/>
      <c r="G15" s="89">
        <f t="shared" ref="G15" si="78">M14</f>
        <v>439.89</v>
      </c>
      <c r="H15" s="94">
        <f t="shared" ref="H15" si="79">H14+K14</f>
        <v>345.95447839999991</v>
      </c>
      <c r="I15" s="94">
        <f t="shared" ref="I15" si="80">I14+L14</f>
        <v>93.935521600000001</v>
      </c>
      <c r="J15" s="94">
        <f t="shared" si="67"/>
        <v>13.560000000000002</v>
      </c>
      <c r="K15" s="94">
        <f t="shared" si="68"/>
        <v>10.664533200000001</v>
      </c>
      <c r="L15" s="94">
        <f t="shared" si="69"/>
        <v>2.8954668000000003</v>
      </c>
      <c r="M15" s="182">
        <v>453.45</v>
      </c>
      <c r="N15" s="127">
        <f t="shared" si="55"/>
        <v>3.0825888290254389E-2</v>
      </c>
      <c r="O15" s="124">
        <f t="shared" ref="O15" si="81">G15*$Y$2</f>
        <v>-46.188449999999996</v>
      </c>
      <c r="P15" s="126">
        <f t="shared" ref="P15" si="82">$W$2*G15</f>
        <v>10.117469999999999</v>
      </c>
      <c r="Q15" s="188">
        <f t="shared" ref="Q15" si="83">K15/H15</f>
        <v>3.0826405974919743E-2</v>
      </c>
      <c r="R15" s="166">
        <f t="shared" ref="R15" si="84">G15*$Y$2</f>
        <v>-46.188449999999996</v>
      </c>
      <c r="S15" s="189">
        <f t="shared" ref="S15" si="85">H15*$W$2</f>
        <v>7.956953003199998</v>
      </c>
      <c r="T15" s="121">
        <f t="shared" ref="T15" si="86">L15/I15</f>
        <v>3.0823981713005152E-2</v>
      </c>
      <c r="U15" s="136">
        <f t="shared" ref="U15" si="87">$Y$2*I15</f>
        <v>-9.8632297680000001</v>
      </c>
      <c r="V15" s="137">
        <f t="shared" ref="V15" si="88">$W$2*I15</f>
        <v>2.1605169968000002</v>
      </c>
      <c r="W15" s="340"/>
      <c r="X15" s="341"/>
      <c r="Y15" s="34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</row>
    <row r="16" spans="1:48" ht="19.75" customHeight="1">
      <c r="A16" s="194">
        <v>45792</v>
      </c>
      <c r="B16" s="12" t="s">
        <v>10</v>
      </c>
      <c r="C16" s="13"/>
      <c r="D16" s="100"/>
      <c r="E16" s="246" t="s">
        <v>125</v>
      </c>
      <c r="F16" s="241" t="s">
        <v>118</v>
      </c>
      <c r="G16" s="89">
        <f t="shared" ref="G16" si="89">M15</f>
        <v>453.45</v>
      </c>
      <c r="H16" s="94">
        <f t="shared" ref="H16" si="90">H15+K15</f>
        <v>356.61901159999991</v>
      </c>
      <c r="I16" s="94">
        <f t="shared" ref="I16" si="91">I15+L15</f>
        <v>96.830988399999995</v>
      </c>
      <c r="J16" s="94">
        <f t="shared" si="67"/>
        <v>12.04000000000002</v>
      </c>
      <c r="K16" s="94">
        <f t="shared" si="68"/>
        <v>9.4690988000000154</v>
      </c>
      <c r="L16" s="94">
        <f t="shared" si="69"/>
        <v>2.5709012000000042</v>
      </c>
      <c r="M16" s="182">
        <v>465.49</v>
      </c>
      <c r="N16" s="127">
        <f t="shared" si="55"/>
        <v>2.6551990296614886E-2</v>
      </c>
      <c r="O16" s="124">
        <f t="shared" ref="O16" si="92">G16*$Y$2</f>
        <v>-47.612249999999996</v>
      </c>
      <c r="P16" s="126">
        <f t="shared" ref="P16" si="93">$W$2*G16</f>
        <v>10.429349999999999</v>
      </c>
      <c r="Q16" s="188">
        <f t="shared" ref="Q16" si="94">K16/H16</f>
        <v>2.6552422871445189E-2</v>
      </c>
      <c r="R16" s="166">
        <f t="shared" ref="R16" si="95">G16*$Y$2</f>
        <v>-47.612249999999996</v>
      </c>
      <c r="S16" s="189">
        <f t="shared" ref="S16" si="96">H16*$W$2</f>
        <v>8.2022372667999974</v>
      </c>
      <c r="T16" s="121">
        <f t="shared" ref="T16" si="97">L16/I16</f>
        <v>2.6550397166037853E-2</v>
      </c>
      <c r="U16" s="136">
        <f t="shared" ref="U16" si="98">$Y$2*I16</f>
        <v>-10.167253782</v>
      </c>
      <c r="V16" s="137">
        <f t="shared" ref="V16" si="99">$W$2*I16</f>
        <v>2.2271127331999998</v>
      </c>
      <c r="W16" s="354"/>
      <c r="X16" s="354"/>
      <c r="Y16" s="354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</row>
    <row r="17" spans="1:48" ht="19.75" customHeight="1">
      <c r="A17" s="194">
        <v>45793</v>
      </c>
      <c r="B17" s="12"/>
      <c r="C17" s="13" t="s">
        <v>9</v>
      </c>
      <c r="D17" s="100"/>
      <c r="E17" s="246" t="s">
        <v>119</v>
      </c>
      <c r="F17" s="241" t="s">
        <v>117</v>
      </c>
      <c r="G17" s="89">
        <f t="shared" ref="G17" si="100">M16</f>
        <v>465.49</v>
      </c>
      <c r="H17" s="94">
        <f t="shared" ref="H17" si="101">H16+K16</f>
        <v>366.08811039999995</v>
      </c>
      <c r="I17" s="94">
        <f t="shared" ref="I17" si="102">I16+L16</f>
        <v>99.401889600000004</v>
      </c>
      <c r="J17" s="94">
        <f t="shared" ref="J17:J18" si="103">M17-G17</f>
        <v>-7.4800000000000182</v>
      </c>
      <c r="K17" s="94">
        <f t="shared" ref="K17:K21" si="104">J17*$B$40</f>
        <v>-5.8827956000000139</v>
      </c>
      <c r="L17" s="94">
        <f t="shared" ref="L17:L21" si="105">J17*$B$41</f>
        <v>-1.5972044000000039</v>
      </c>
      <c r="M17" s="182">
        <v>458.01</v>
      </c>
      <c r="N17" s="127">
        <f t="shared" si="55"/>
        <v>-1.6069088487400414E-2</v>
      </c>
      <c r="O17" s="124">
        <f t="shared" ref="O17" si="106">G17*$Y$2</f>
        <v>-48.876449999999998</v>
      </c>
      <c r="P17" s="126">
        <f t="shared" ref="P17" si="107">$W$2*G17</f>
        <v>10.70627</v>
      </c>
      <c r="Q17" s="188">
        <f t="shared" ref="Q17" si="108">K17/H17</f>
        <v>-1.6069343507420324E-2</v>
      </c>
      <c r="R17" s="166">
        <f t="shared" ref="R17" si="109">G17*$Y$2</f>
        <v>-48.876449999999998</v>
      </c>
      <c r="S17" s="189">
        <f t="shared" ref="S17" si="110">H17*$W$2</f>
        <v>8.4200265391999984</v>
      </c>
      <c r="T17" s="121">
        <f t="shared" ref="T17" si="111">L17/I17</f>
        <v>-1.6068149271882694E-2</v>
      </c>
      <c r="U17" s="136">
        <f t="shared" ref="U17" si="112">$Y$2*I17</f>
        <v>-10.437198408</v>
      </c>
      <c r="V17" s="137">
        <f t="shared" ref="V17" si="113">$W$2*I17</f>
        <v>2.2862434608000002</v>
      </c>
      <c r="W17" s="354"/>
      <c r="X17" s="354"/>
      <c r="Y17" s="354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</row>
    <row r="18" spans="1:48" ht="19.75" customHeight="1">
      <c r="A18" s="194">
        <v>45794</v>
      </c>
      <c r="B18" s="12" t="s">
        <v>10</v>
      </c>
      <c r="C18" s="13"/>
      <c r="D18" s="100"/>
      <c r="E18" s="246" t="s">
        <v>125</v>
      </c>
      <c r="F18" s="241" t="s">
        <v>122</v>
      </c>
      <c r="G18" s="89">
        <f t="shared" ref="G18" si="114">M17</f>
        <v>458.01</v>
      </c>
      <c r="H18" s="94">
        <f t="shared" ref="H18" si="115">H17+K17</f>
        <v>360.20531479999994</v>
      </c>
      <c r="I18" s="94">
        <f t="shared" ref="I18" si="116">I17+L17</f>
        <v>97.804685199999994</v>
      </c>
      <c r="J18" s="94">
        <f t="shared" si="103"/>
        <v>11.699999999999989</v>
      </c>
      <c r="K18" s="94">
        <f t="shared" si="104"/>
        <v>9.2016989999999907</v>
      </c>
      <c r="L18" s="94">
        <f t="shared" si="105"/>
        <v>2.4983009999999974</v>
      </c>
      <c r="M18" s="182">
        <v>469.71</v>
      </c>
      <c r="N18" s="127">
        <f t="shared" si="55"/>
        <v>2.554529377087834E-2</v>
      </c>
      <c r="O18" s="124">
        <f t="shared" ref="O18" si="117">G18*$Y$2</f>
        <v>-48.091049999999996</v>
      </c>
      <c r="P18" s="126">
        <f t="shared" ref="P18" si="118">$W$2*G18</f>
        <v>10.534229999999999</v>
      </c>
      <c r="Q18" s="188">
        <f t="shared" ref="Q18" si="119">K18/H18</f>
        <v>2.5545705801451414E-2</v>
      </c>
      <c r="R18" s="166">
        <f t="shared" ref="R18" si="120">G18*$Y$2</f>
        <v>-48.091049999999996</v>
      </c>
      <c r="S18" s="189">
        <f t="shared" ref="S18" si="121">H18*$W$2</f>
        <v>8.2847222403999989</v>
      </c>
      <c r="T18" s="121">
        <f t="shared" ref="T18" si="122">L18/I18</f>
        <v>2.5543776301628518E-2</v>
      </c>
      <c r="U18" s="136">
        <f t="shared" ref="U18" si="123">$Y$2*I18</f>
        <v>-10.269491945999999</v>
      </c>
      <c r="V18" s="137">
        <f t="shared" ref="V18" si="124">$W$2*I18</f>
        <v>2.2495077595999997</v>
      </c>
      <c r="W18" s="354"/>
      <c r="X18" s="354"/>
      <c r="Y18" s="354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</row>
    <row r="19" spans="1:48" ht="19.75" customHeight="1">
      <c r="A19" s="194">
        <v>45795</v>
      </c>
      <c r="B19" s="12"/>
      <c r="C19" s="13" t="s">
        <v>9</v>
      </c>
      <c r="D19" s="100"/>
      <c r="E19" s="246" t="s">
        <v>126</v>
      </c>
      <c r="F19" s="241" t="s">
        <v>127</v>
      </c>
      <c r="G19" s="89">
        <f>M18</f>
        <v>469.71</v>
      </c>
      <c r="H19" s="94">
        <f t="shared" ref="H19:I21" si="125">H18+K18</f>
        <v>369.40701379999996</v>
      </c>
      <c r="I19" s="94">
        <f t="shared" si="125"/>
        <v>100.30298619999999</v>
      </c>
      <c r="J19" s="94">
        <f t="shared" ref="J19:J24" si="126">M19-G19</f>
        <v>-1.5600000000000023</v>
      </c>
      <c r="K19" s="94">
        <f t="shared" si="104"/>
        <v>-1.2268932000000017</v>
      </c>
      <c r="L19" s="94">
        <f t="shared" si="105"/>
        <v>-0.33310680000000048</v>
      </c>
      <c r="M19" s="182">
        <v>468.15</v>
      </c>
      <c r="N19" s="127">
        <f t="shared" ref="N19:N24" si="127">J19/G19</f>
        <v>-3.3211981861148419E-3</v>
      </c>
      <c r="O19" s="124">
        <f t="shared" ref="O19:O24" si="128">G19*$Y$2</f>
        <v>-49.31955</v>
      </c>
      <c r="P19" s="126">
        <f t="shared" ref="P19:P24" si="129">$W$2*G19</f>
        <v>10.803329999999999</v>
      </c>
      <c r="Q19" s="188">
        <f t="shared" ref="Q19:Q24" si="130">K19/H19</f>
        <v>-3.3212504207195477E-3</v>
      </c>
      <c r="R19" s="166">
        <f t="shared" ref="R19:R24" si="131">G19*$Y$2</f>
        <v>-49.31955</v>
      </c>
      <c r="S19" s="189">
        <f t="shared" ref="S19:S24" si="132">H19*$W$2</f>
        <v>8.4963613173999981</v>
      </c>
      <c r="T19" s="121">
        <f t="shared" ref="T19:T24" si="133">L19/I19</f>
        <v>-3.3210058106924087E-3</v>
      </c>
      <c r="U19" s="136">
        <f t="shared" ref="U19:U24" si="134">$Y$2*I19</f>
        <v>-10.531813550999999</v>
      </c>
      <c r="V19" s="137">
        <f t="shared" ref="V19:V24" si="135">$W$2*I19</f>
        <v>2.3069686826</v>
      </c>
      <c r="W19" s="354"/>
      <c r="X19" s="354"/>
      <c r="Y19" s="354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</row>
    <row r="20" spans="1:48" ht="19.75" customHeight="1">
      <c r="A20" s="194">
        <v>45796</v>
      </c>
      <c r="B20" s="12" t="s">
        <v>10</v>
      </c>
      <c r="C20" s="13"/>
      <c r="D20" s="100"/>
      <c r="E20" s="246" t="s">
        <v>125</v>
      </c>
      <c r="F20" s="241" t="s">
        <v>133</v>
      </c>
      <c r="G20" s="89">
        <f>M19</f>
        <v>468.15</v>
      </c>
      <c r="H20" s="94">
        <f t="shared" si="125"/>
        <v>368.18012059999995</v>
      </c>
      <c r="I20" s="94">
        <f t="shared" si="125"/>
        <v>99.969879399999996</v>
      </c>
      <c r="J20" s="94">
        <f t="shared" si="126"/>
        <v>10.800000000000011</v>
      </c>
      <c r="K20" s="94">
        <f t="shared" si="104"/>
        <v>8.4938760000000091</v>
      </c>
      <c r="L20" s="94">
        <f t="shared" si="105"/>
        <v>2.3061240000000023</v>
      </c>
      <c r="M20" s="182">
        <v>478.95</v>
      </c>
      <c r="N20" s="127">
        <f t="shared" si="127"/>
        <v>2.3069528997116333E-2</v>
      </c>
      <c r="O20" s="124">
        <f t="shared" si="128"/>
        <v>-49.155749999999998</v>
      </c>
      <c r="P20" s="126">
        <f t="shared" si="129"/>
        <v>10.767449999999998</v>
      </c>
      <c r="Q20" s="188">
        <f t="shared" si="130"/>
        <v>2.306989303539277E-2</v>
      </c>
      <c r="R20" s="166">
        <f t="shared" si="131"/>
        <v>-49.155749999999998</v>
      </c>
      <c r="S20" s="189">
        <f t="shared" si="132"/>
        <v>8.4681427737999986</v>
      </c>
      <c r="T20" s="121">
        <f t="shared" si="133"/>
        <v>2.30681882767181E-2</v>
      </c>
      <c r="U20" s="136">
        <f t="shared" si="134"/>
        <v>-10.496837336999999</v>
      </c>
      <c r="V20" s="137">
        <f t="shared" si="135"/>
        <v>2.2993072261999998</v>
      </c>
      <c r="W20" s="202"/>
      <c r="X20" s="203"/>
      <c r="Y20" s="202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</row>
    <row r="21" spans="1:48" ht="19.75" customHeight="1">
      <c r="A21" s="194">
        <v>45797</v>
      </c>
      <c r="B21" s="12" t="s">
        <v>10</v>
      </c>
      <c r="C21" s="13"/>
      <c r="D21" s="100"/>
      <c r="E21" s="247" t="s">
        <v>151</v>
      </c>
      <c r="F21" s="242" t="s">
        <v>152</v>
      </c>
      <c r="G21" s="89">
        <f>M20</f>
        <v>478.95</v>
      </c>
      <c r="H21" s="94">
        <f t="shared" si="125"/>
        <v>376.67399659999995</v>
      </c>
      <c r="I21" s="94">
        <f t="shared" si="125"/>
        <v>102.27600339999999</v>
      </c>
      <c r="J21" s="94">
        <f t="shared" si="126"/>
        <v>11.199999999999989</v>
      </c>
      <c r="K21" s="94">
        <f t="shared" si="104"/>
        <v>8.8084639999999919</v>
      </c>
      <c r="L21" s="94">
        <f t="shared" si="105"/>
        <v>2.3915359999999977</v>
      </c>
      <c r="M21" s="182">
        <v>490.15</v>
      </c>
      <c r="N21" s="127">
        <f t="shared" si="127"/>
        <v>2.3384486898423613E-2</v>
      </c>
      <c r="O21" s="124">
        <f t="shared" si="128"/>
        <v>-50.289749999999998</v>
      </c>
      <c r="P21" s="126">
        <f t="shared" si="129"/>
        <v>11.01585</v>
      </c>
      <c r="Q21" s="188">
        <f t="shared" si="130"/>
        <v>2.3384847585733219E-2</v>
      </c>
      <c r="R21" s="166">
        <f t="shared" si="131"/>
        <v>-50.289749999999998</v>
      </c>
      <c r="S21" s="189">
        <f t="shared" si="132"/>
        <v>8.6635019217999982</v>
      </c>
      <c r="T21" s="121">
        <f t="shared" si="133"/>
        <v>2.3383158517122873E-2</v>
      </c>
      <c r="U21" s="136">
        <f t="shared" si="134"/>
        <v>-10.738980356999999</v>
      </c>
      <c r="V21" s="137">
        <f t="shared" si="135"/>
        <v>2.3523480781999999</v>
      </c>
      <c r="W21" s="202"/>
      <c r="X21" s="202"/>
      <c r="Y21" s="202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</row>
    <row r="22" spans="1:48" ht="19.75" customHeight="1">
      <c r="A22" s="194">
        <v>45798</v>
      </c>
      <c r="B22" s="12"/>
      <c r="C22" s="13" t="s">
        <v>9</v>
      </c>
      <c r="D22" s="260"/>
      <c r="E22" s="248" t="s">
        <v>142</v>
      </c>
      <c r="F22" s="243" t="s">
        <v>158</v>
      </c>
      <c r="G22" s="89">
        <f>M21</f>
        <v>490.15</v>
      </c>
      <c r="H22" s="94">
        <f t="shared" ref="H22" si="136">H21+K21</f>
        <v>385.48246059999997</v>
      </c>
      <c r="I22" s="94">
        <f t="shared" ref="I22" si="137">I21+L21</f>
        <v>104.6675394</v>
      </c>
      <c r="J22" s="94">
        <f t="shared" si="126"/>
        <v>-49</v>
      </c>
      <c r="K22" s="94">
        <f t="shared" ref="K22" si="138">J22*$B$40</f>
        <v>-38.537030000000001</v>
      </c>
      <c r="L22" s="94">
        <f t="shared" ref="L22" si="139">J22*$B$41</f>
        <v>-10.46297</v>
      </c>
      <c r="M22" s="182">
        <v>441.15</v>
      </c>
      <c r="N22" s="127">
        <f t="shared" si="127"/>
        <v>-9.9969397123329598E-2</v>
      </c>
      <c r="O22" s="124">
        <f t="shared" si="128"/>
        <v>-51.465749999999993</v>
      </c>
      <c r="P22" s="126">
        <f t="shared" si="129"/>
        <v>11.273449999999999</v>
      </c>
      <c r="Q22" s="188">
        <f t="shared" si="130"/>
        <v>-9.9970903838315917E-2</v>
      </c>
      <c r="R22" s="166">
        <f t="shared" si="131"/>
        <v>-51.465749999999993</v>
      </c>
      <c r="S22" s="189">
        <f t="shared" si="132"/>
        <v>8.8660965937999983</v>
      </c>
      <c r="T22" s="121">
        <f t="shared" si="133"/>
        <v>-9.9963848008449513E-2</v>
      </c>
      <c r="U22" s="136">
        <f t="shared" si="134"/>
        <v>-10.990091636999999</v>
      </c>
      <c r="V22" s="137">
        <f t="shared" si="135"/>
        <v>2.4073534061999999</v>
      </c>
      <c r="W22" s="202"/>
      <c r="X22" s="202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</row>
    <row r="23" spans="1:48" ht="19.75" customHeight="1">
      <c r="A23" s="80">
        <v>45799</v>
      </c>
      <c r="B23" s="12"/>
      <c r="C23" s="13" t="s">
        <v>9</v>
      </c>
      <c r="D23" s="260">
        <v>77.95</v>
      </c>
      <c r="E23" s="248" t="s">
        <v>173</v>
      </c>
      <c r="F23" s="243" t="s">
        <v>172</v>
      </c>
      <c r="G23" s="89">
        <f t="shared" ref="G23:G28" si="140">M22+D23</f>
        <v>519.1</v>
      </c>
      <c r="H23" s="94">
        <f t="shared" ref="H23:H28" si="141">H22+K22+D23</f>
        <v>424.89543059999994</v>
      </c>
      <c r="I23" s="94">
        <f t="shared" ref="I23" si="142">I22+L22</f>
        <v>94.204569399999997</v>
      </c>
      <c r="J23" s="116">
        <f t="shared" si="126"/>
        <v>-19</v>
      </c>
      <c r="K23" s="116">
        <f t="shared" ref="K23:K29" si="143">J23*$C$40</f>
        <v>-15.551942171835867</v>
      </c>
      <c r="L23" s="116">
        <f t="shared" ref="L23:L28" si="144">J23*$C$41</f>
        <v>-3.4480578281641301</v>
      </c>
      <c r="M23" s="184">
        <v>500.1</v>
      </c>
      <c r="N23" s="170">
        <f t="shared" si="127"/>
        <v>-3.660181082643036E-2</v>
      </c>
      <c r="O23" s="124">
        <f t="shared" si="128"/>
        <v>-54.505499999999998</v>
      </c>
      <c r="P23" s="126">
        <f t="shared" si="129"/>
        <v>11.939300000000001</v>
      </c>
      <c r="Q23" s="188">
        <f t="shared" si="130"/>
        <v>-3.660181082643036E-2</v>
      </c>
      <c r="R23" s="166">
        <f t="shared" si="131"/>
        <v>-54.505499999999998</v>
      </c>
      <c r="S23" s="189">
        <f t="shared" si="132"/>
        <v>9.7725949037999982</v>
      </c>
      <c r="T23" s="121">
        <f t="shared" si="133"/>
        <v>-3.660181082643036E-2</v>
      </c>
      <c r="U23" s="136">
        <f t="shared" si="134"/>
        <v>-9.8914797869999997</v>
      </c>
      <c r="V23" s="137">
        <f t="shared" si="135"/>
        <v>2.1667050961999998</v>
      </c>
      <c r="W23" s="202"/>
      <c r="X23" s="202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</row>
    <row r="24" spans="1:48" ht="19.75" customHeight="1">
      <c r="A24" s="194">
        <v>45800</v>
      </c>
      <c r="B24" s="12" t="s">
        <v>10</v>
      </c>
      <c r="C24" s="13"/>
      <c r="D24" s="232"/>
      <c r="E24" s="248" t="s">
        <v>179</v>
      </c>
      <c r="F24" s="243" t="s">
        <v>122</v>
      </c>
      <c r="G24" s="89">
        <f t="shared" si="140"/>
        <v>500.1</v>
      </c>
      <c r="H24" s="94">
        <f t="shared" si="141"/>
        <v>409.34348842816405</v>
      </c>
      <c r="I24" s="94">
        <f t="shared" ref="I24" si="145">I23+L23</f>
        <v>90.756511571835873</v>
      </c>
      <c r="J24" s="169">
        <f t="shared" si="126"/>
        <v>11.699999999999989</v>
      </c>
      <c r="K24" s="162">
        <f t="shared" si="143"/>
        <v>9.5767222847620772</v>
      </c>
      <c r="L24" s="162">
        <f t="shared" si="144"/>
        <v>2.1232777152379096</v>
      </c>
      <c r="M24" s="185">
        <v>511.8</v>
      </c>
      <c r="N24" s="171">
        <f t="shared" si="127"/>
        <v>2.3395320935812813E-2</v>
      </c>
      <c r="O24" s="124">
        <f t="shared" si="128"/>
        <v>-52.5105</v>
      </c>
      <c r="P24" s="126">
        <f t="shared" si="129"/>
        <v>11.5023</v>
      </c>
      <c r="Q24" s="188">
        <f t="shared" si="130"/>
        <v>2.3395320935812813E-2</v>
      </c>
      <c r="R24" s="166">
        <f t="shared" si="131"/>
        <v>-52.5105</v>
      </c>
      <c r="S24" s="189">
        <f t="shared" si="132"/>
        <v>9.4149002338477725</v>
      </c>
      <c r="T24" s="121">
        <f t="shared" si="133"/>
        <v>2.3395320935812813E-2</v>
      </c>
      <c r="U24" s="136">
        <f t="shared" si="134"/>
        <v>-9.5294337150427655</v>
      </c>
      <c r="V24" s="137">
        <f t="shared" si="135"/>
        <v>2.0873997661522252</v>
      </c>
      <c r="W24" s="202"/>
      <c r="X24" s="202"/>
      <c r="Y24" s="202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</row>
    <row r="25" spans="1:48" ht="19.75" customHeight="1">
      <c r="A25" s="186">
        <v>45801</v>
      </c>
      <c r="B25" s="68"/>
      <c r="C25" s="69"/>
      <c r="D25" s="232"/>
      <c r="E25" s="248"/>
      <c r="F25" s="243"/>
      <c r="G25" s="89">
        <f t="shared" si="140"/>
        <v>511.8</v>
      </c>
      <c r="H25" s="94">
        <f t="shared" si="141"/>
        <v>418.92021071292612</v>
      </c>
      <c r="I25" s="94">
        <f t="shared" ref="I25" si="146">I24+L24</f>
        <v>92.879789287073777</v>
      </c>
      <c r="J25" s="169">
        <f t="shared" ref="J25" si="147">M25-G25</f>
        <v>0</v>
      </c>
      <c r="K25" s="162">
        <f t="shared" si="143"/>
        <v>0</v>
      </c>
      <c r="L25" s="162">
        <f t="shared" si="144"/>
        <v>0</v>
      </c>
      <c r="M25" s="185">
        <v>511.8</v>
      </c>
      <c r="N25" s="171">
        <f t="shared" ref="N25" si="148">J25/G25</f>
        <v>0</v>
      </c>
      <c r="O25" s="124">
        <f t="shared" ref="O25" si="149">G25*$Y$2</f>
        <v>-53.738999999999997</v>
      </c>
      <c r="P25" s="126">
        <f t="shared" ref="P25" si="150">$W$2*G25</f>
        <v>11.7714</v>
      </c>
      <c r="Q25" s="188">
        <f t="shared" ref="Q25" si="151">K25/H25</f>
        <v>0</v>
      </c>
      <c r="R25" s="166">
        <f t="shared" ref="R25" si="152">G25*$Y$2</f>
        <v>-53.738999999999997</v>
      </c>
      <c r="S25" s="189">
        <f t="shared" ref="S25" si="153">H25*$W$2</f>
        <v>9.6351648463973003</v>
      </c>
      <c r="T25" s="121">
        <f t="shared" ref="T25" si="154">L25/I25</f>
        <v>0</v>
      </c>
      <c r="U25" s="136">
        <f t="shared" ref="U25" si="155">$Y$2*I25</f>
        <v>-9.7523778751427468</v>
      </c>
      <c r="V25" s="137">
        <f t="shared" ref="V25" si="156">$W$2*I25</f>
        <v>2.1362351536026969</v>
      </c>
      <c r="W25" s="202"/>
      <c r="X25" s="202"/>
      <c r="Y25" s="202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1"/>
      <c r="AT25" s="201"/>
      <c r="AU25" s="201"/>
      <c r="AV25" s="201"/>
    </row>
    <row r="26" spans="1:48" ht="19.75" customHeight="1">
      <c r="A26" s="186">
        <v>45802</v>
      </c>
      <c r="B26" s="68"/>
      <c r="C26" s="69"/>
      <c r="D26" s="232"/>
      <c r="E26" s="248"/>
      <c r="F26" s="243"/>
      <c r="G26" s="89">
        <f t="shared" si="140"/>
        <v>511.8</v>
      </c>
      <c r="H26" s="94">
        <f t="shared" si="141"/>
        <v>418.92021071292612</v>
      </c>
      <c r="I26" s="94">
        <f t="shared" ref="I26" si="157">I25+L25</f>
        <v>92.879789287073777</v>
      </c>
      <c r="J26" s="169">
        <f t="shared" ref="J26:J27" si="158">M26-G26</f>
        <v>0</v>
      </c>
      <c r="K26" s="162">
        <f t="shared" si="143"/>
        <v>0</v>
      </c>
      <c r="L26" s="162">
        <f t="shared" si="144"/>
        <v>0</v>
      </c>
      <c r="M26" s="185">
        <v>511.8</v>
      </c>
      <c r="N26" s="171">
        <f t="shared" ref="N26" si="159">J26/G26</f>
        <v>0</v>
      </c>
      <c r="O26" s="124">
        <f t="shared" ref="O26" si="160">G26*$Y$2</f>
        <v>-53.738999999999997</v>
      </c>
      <c r="P26" s="126">
        <f t="shared" ref="P26" si="161">$W$2*G26</f>
        <v>11.7714</v>
      </c>
      <c r="Q26" s="188">
        <f t="shared" ref="Q26" si="162">K26/H26</f>
        <v>0</v>
      </c>
      <c r="R26" s="166">
        <f t="shared" ref="R26" si="163">G26*$Y$2</f>
        <v>-53.738999999999997</v>
      </c>
      <c r="S26" s="189">
        <f t="shared" ref="S26" si="164">H26*$W$2</f>
        <v>9.6351648463973003</v>
      </c>
      <c r="T26" s="121">
        <f t="shared" ref="T26" si="165">L26/I26</f>
        <v>0</v>
      </c>
      <c r="U26" s="136">
        <f t="shared" ref="U26" si="166">$Y$2*I26</f>
        <v>-9.7523778751427468</v>
      </c>
      <c r="V26" s="137">
        <f t="shared" ref="V26" si="167">$W$2*I26</f>
        <v>2.1362351536026969</v>
      </c>
      <c r="W26" s="202"/>
      <c r="X26" s="202"/>
      <c r="Y26" s="202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1"/>
      <c r="AT26" s="201"/>
      <c r="AU26" s="201"/>
      <c r="AV26" s="201"/>
    </row>
    <row r="27" spans="1:48" ht="19.75" customHeight="1">
      <c r="A27" s="194">
        <v>45803</v>
      </c>
      <c r="B27" s="12" t="s">
        <v>10</v>
      </c>
      <c r="C27" s="13"/>
      <c r="D27" s="161"/>
      <c r="E27" s="248" t="s">
        <v>179</v>
      </c>
      <c r="F27" s="243" t="s">
        <v>214</v>
      </c>
      <c r="G27" s="297">
        <f t="shared" si="140"/>
        <v>511.8</v>
      </c>
      <c r="H27" s="94">
        <f t="shared" si="141"/>
        <v>418.92021071292612</v>
      </c>
      <c r="I27" s="94">
        <f t="shared" ref="I27" si="168">I26+L26</f>
        <v>92.879789287073777</v>
      </c>
      <c r="J27" s="162">
        <f t="shared" si="158"/>
        <v>11.939999999999998</v>
      </c>
      <c r="K27" s="162">
        <f t="shared" si="143"/>
        <v>9.7731678700905373</v>
      </c>
      <c r="L27" s="162">
        <f t="shared" si="144"/>
        <v>2.1668321299094582</v>
      </c>
      <c r="M27" s="185">
        <v>523.74</v>
      </c>
      <c r="N27" s="171">
        <f t="shared" ref="N27" si="169">J27/G27</f>
        <v>2.3329425556858144E-2</v>
      </c>
      <c r="O27" s="124">
        <f t="shared" ref="O27" si="170">G27*$Y$2</f>
        <v>-53.738999999999997</v>
      </c>
      <c r="P27" s="126">
        <f t="shared" ref="P27" si="171">$W$2*G27</f>
        <v>11.7714</v>
      </c>
      <c r="Q27" s="188">
        <f t="shared" ref="Q27" si="172">K27/H27</f>
        <v>2.3329425556858144E-2</v>
      </c>
      <c r="R27" s="166">
        <f t="shared" ref="R27" si="173">G27*$Y$2</f>
        <v>-53.738999999999997</v>
      </c>
      <c r="S27" s="189">
        <f t="shared" ref="S27" si="174">H27*$W$2</f>
        <v>9.6351648463973003</v>
      </c>
      <c r="T27" s="121">
        <f t="shared" ref="T27" si="175">L27/I27</f>
        <v>2.3329425556858144E-2</v>
      </c>
      <c r="U27" s="136">
        <f t="shared" ref="U27" si="176">$Y$2*I27</f>
        <v>-9.7523778751427468</v>
      </c>
      <c r="V27" s="137">
        <f t="shared" ref="V27" si="177">$W$2*I27</f>
        <v>2.1362351536026969</v>
      </c>
      <c r="W27" s="202"/>
      <c r="X27" s="202"/>
      <c r="Y27" s="202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</row>
    <row r="28" spans="1:48" ht="19.75" customHeight="1">
      <c r="A28" s="194">
        <v>45804</v>
      </c>
      <c r="B28" s="12"/>
      <c r="C28" s="13" t="s">
        <v>9</v>
      </c>
      <c r="D28" s="173"/>
      <c r="E28" s="249" t="s">
        <v>173</v>
      </c>
      <c r="F28" s="244" t="s">
        <v>218</v>
      </c>
      <c r="G28" s="162">
        <f t="shared" si="140"/>
        <v>523.74</v>
      </c>
      <c r="H28" s="94">
        <f t="shared" si="141"/>
        <v>428.69337858301668</v>
      </c>
      <c r="I28" s="94">
        <f t="shared" ref="I28" si="178">I27+L27</f>
        <v>95.046621416983228</v>
      </c>
      <c r="J28" s="162">
        <f t="shared" ref="J28" si="179">M28-G28</f>
        <v>-3.2000000000000455</v>
      </c>
      <c r="K28" s="162">
        <f t="shared" si="143"/>
        <v>-2.619274471046078</v>
      </c>
      <c r="L28" s="162">
        <f t="shared" si="144"/>
        <v>-0.58072552895396701</v>
      </c>
      <c r="M28" s="185">
        <v>520.54</v>
      </c>
      <c r="N28" s="171">
        <f t="shared" ref="N28" si="180">J28/G28</f>
        <v>-6.1099018597014654E-3</v>
      </c>
      <c r="O28" s="124">
        <f t="shared" ref="O28" si="181">G28*$Y$2</f>
        <v>-54.992699999999999</v>
      </c>
      <c r="P28" s="126">
        <f t="shared" ref="P28" si="182">$W$2*G28</f>
        <v>12.04602</v>
      </c>
      <c r="Q28" s="188">
        <f t="shared" ref="Q28" si="183">K28/H28</f>
        <v>-6.1099018597014654E-3</v>
      </c>
      <c r="R28" s="166">
        <f t="shared" ref="R28" si="184">G28*$Y$2</f>
        <v>-54.992699999999999</v>
      </c>
      <c r="S28" s="189">
        <f t="shared" ref="S28" si="185">H28*$W$2</f>
        <v>9.8599477074093826</v>
      </c>
      <c r="T28" s="121">
        <f t="shared" ref="T28" si="186">L28/I28</f>
        <v>-6.1099018597014663E-3</v>
      </c>
      <c r="U28" s="136">
        <f t="shared" ref="U28" si="187">$Y$2*I28</f>
        <v>-9.9798952487832384</v>
      </c>
      <c r="V28" s="137">
        <f t="shared" ref="V28" si="188">$W$2*I28</f>
        <v>2.1860722925906142</v>
      </c>
      <c r="W28" s="202"/>
      <c r="X28" s="202"/>
      <c r="Y28" s="202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01"/>
      <c r="AT28" s="201"/>
      <c r="AU28" s="201"/>
      <c r="AV28" s="201"/>
    </row>
    <row r="29" spans="1:48" ht="19.75" customHeight="1">
      <c r="A29" s="194">
        <v>45805</v>
      </c>
      <c r="B29" s="12" t="s">
        <v>10</v>
      </c>
      <c r="C29" s="13"/>
      <c r="D29" s="161"/>
      <c r="E29" s="249" t="s">
        <v>224</v>
      </c>
      <c r="F29" s="244" t="s">
        <v>225</v>
      </c>
      <c r="G29" s="162">
        <f t="shared" ref="G29" si="189">M28+D29</f>
        <v>520.54</v>
      </c>
      <c r="H29" s="94">
        <f t="shared" ref="H29" si="190">H28+K28+D29</f>
        <v>426.0741041119706</v>
      </c>
      <c r="I29" s="94">
        <f t="shared" ref="I29" si="191">I28+L28</f>
        <v>94.465895888029266</v>
      </c>
      <c r="J29" s="162">
        <f t="shared" ref="J29" si="192">M29-G29</f>
        <v>3.4000000000000909</v>
      </c>
      <c r="K29" s="162">
        <f t="shared" si="143"/>
        <v>2.7829791254864924</v>
      </c>
      <c r="L29" s="162">
        <f t="shared" ref="L29" si="193">J29*$C$41</f>
        <v>0.61702087451359766</v>
      </c>
      <c r="M29" s="185">
        <v>523.94000000000005</v>
      </c>
      <c r="N29" s="171">
        <f t="shared" ref="N29" si="194">J29/G29</f>
        <v>6.531678641411018E-3</v>
      </c>
      <c r="O29" s="124">
        <f t="shared" ref="O29" si="195">G29*$Y$2</f>
        <v>-54.656699999999994</v>
      </c>
      <c r="P29" s="126">
        <f t="shared" ref="P29" si="196">$W$2*G29</f>
        <v>11.97242</v>
      </c>
      <c r="Q29" s="188">
        <f t="shared" ref="Q29" si="197">K29/H29</f>
        <v>6.5316786414110171E-3</v>
      </c>
      <c r="R29" s="166">
        <f t="shared" ref="R29" si="198">G29*$Y$2</f>
        <v>-54.656699999999994</v>
      </c>
      <c r="S29" s="189">
        <f t="shared" ref="S29" si="199">H29*$W$2</f>
        <v>9.7997043945753237</v>
      </c>
      <c r="T29" s="121">
        <f t="shared" ref="T29" si="200">L29/I29</f>
        <v>6.531678641411018E-3</v>
      </c>
      <c r="U29" s="136">
        <f t="shared" ref="U29" si="201">$Y$2*I29</f>
        <v>-9.9189190682430723</v>
      </c>
      <c r="V29" s="137">
        <f t="shared" ref="V29" si="202">$W$2*I29</f>
        <v>2.1727156054246732</v>
      </c>
      <c r="W29" s="202"/>
      <c r="X29" s="202"/>
      <c r="Y29" s="202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</row>
    <row r="30" spans="1:48" ht="19.75" customHeight="1">
      <c r="A30" s="186">
        <v>45806</v>
      </c>
      <c r="B30" s="68"/>
      <c r="C30" s="69"/>
      <c r="D30" s="161"/>
      <c r="E30" s="249"/>
      <c r="F30" s="244"/>
      <c r="G30" s="162">
        <f t="shared" ref="G30" si="203">M29+D30</f>
        <v>523.94000000000005</v>
      </c>
      <c r="H30" s="94">
        <f t="shared" ref="H30" si="204">H29+K29+D30</f>
        <v>428.85708323745712</v>
      </c>
      <c r="I30" s="94">
        <f t="shared" ref="I30" si="205">I29+L29</f>
        <v>95.082916762542865</v>
      </c>
      <c r="J30" s="162">
        <f t="shared" ref="J30:J31" si="206">M30-G30</f>
        <v>0</v>
      </c>
      <c r="K30" s="162">
        <f t="shared" ref="K30:K31" si="207">J30*$C$40</f>
        <v>0</v>
      </c>
      <c r="L30" s="162">
        <f t="shared" ref="L30:L31" si="208">J30*$C$41</f>
        <v>0</v>
      </c>
      <c r="M30" s="185">
        <v>523.94000000000005</v>
      </c>
      <c r="N30" s="171">
        <f t="shared" ref="N30:N31" si="209">J30/G30</f>
        <v>0</v>
      </c>
      <c r="O30" s="124">
        <f t="shared" ref="O30" si="210">G30*$Y$2</f>
        <v>-55.013700000000007</v>
      </c>
      <c r="P30" s="126">
        <f t="shared" ref="P30" si="211">$W$2*G30</f>
        <v>12.05062</v>
      </c>
      <c r="Q30" s="188">
        <f t="shared" ref="Q30" si="212">K30/H30</f>
        <v>0</v>
      </c>
      <c r="R30" s="166">
        <f t="shared" ref="R30" si="213">G30*$Y$2</f>
        <v>-55.013700000000007</v>
      </c>
      <c r="S30" s="189">
        <f t="shared" ref="S30" si="214">H30*$W$2</f>
        <v>9.8637129144615141</v>
      </c>
      <c r="T30" s="121">
        <f t="shared" ref="T30" si="215">L30/I30</f>
        <v>0</v>
      </c>
      <c r="U30" s="136">
        <f t="shared" ref="U30" si="216">$Y$2*I30</f>
        <v>-9.9837062600670006</v>
      </c>
      <c r="V30" s="137">
        <f t="shared" ref="V30" si="217">$W$2*I30</f>
        <v>2.1869070855384858</v>
      </c>
      <c r="W30" s="202"/>
      <c r="X30" s="202"/>
      <c r="Y30" s="202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</row>
    <row r="31" spans="1:48" ht="19.75" customHeight="1">
      <c r="A31" s="194">
        <v>45807</v>
      </c>
      <c r="B31" s="12"/>
      <c r="C31" s="13" t="s">
        <v>9</v>
      </c>
      <c r="D31" s="161"/>
      <c r="E31" s="249" t="s">
        <v>227</v>
      </c>
      <c r="F31" s="244" t="s">
        <v>228</v>
      </c>
      <c r="G31" s="162">
        <f t="shared" ref="G31" si="218">M30+D31</f>
        <v>523.94000000000005</v>
      </c>
      <c r="H31" s="94">
        <f t="shared" ref="H31" si="219">H30+K30+D31</f>
        <v>428.85708323745712</v>
      </c>
      <c r="I31" s="94">
        <f t="shared" ref="I31" si="220">I30+L30</f>
        <v>95.082916762542865</v>
      </c>
      <c r="J31" s="162">
        <f t="shared" si="206"/>
        <v>-15.000000000000057</v>
      </c>
      <c r="K31" s="162">
        <f t="shared" si="207"/>
        <v>-12.277849083028363</v>
      </c>
      <c r="L31" s="162">
        <f t="shared" si="208"/>
        <v>-2.722150916971692</v>
      </c>
      <c r="M31" s="185">
        <v>508.94</v>
      </c>
      <c r="N31" s="164">
        <f t="shared" si="209"/>
        <v>-2.8629232354849897E-2</v>
      </c>
      <c r="O31" s="124">
        <f t="shared" ref="O31" si="221">G31*$Y$2</f>
        <v>-55.013700000000007</v>
      </c>
      <c r="P31" s="126">
        <f t="shared" ref="P31" si="222">$W$2*G31</f>
        <v>12.05062</v>
      </c>
      <c r="Q31" s="188">
        <f t="shared" ref="Q31" si="223">K31/H31</f>
        <v>-2.8629232354849897E-2</v>
      </c>
      <c r="R31" s="166">
        <f t="shared" ref="R31" si="224">G31*$Y$2</f>
        <v>-55.013700000000007</v>
      </c>
      <c r="S31" s="189">
        <f t="shared" ref="S31" si="225">H31*$W$2</f>
        <v>9.8637129144615141</v>
      </c>
      <c r="T31" s="121">
        <f t="shared" ref="T31" si="226">L31/I31</f>
        <v>-2.8629232354849897E-2</v>
      </c>
      <c r="U31" s="136">
        <f t="shared" ref="U31" si="227">$Y$2*I31</f>
        <v>-9.9837062600670006</v>
      </c>
      <c r="V31" s="137">
        <f t="shared" ref="V31" si="228">$W$2*I31</f>
        <v>2.1869070855384858</v>
      </c>
      <c r="W31" s="202"/>
      <c r="X31" s="202"/>
      <c r="Y31" s="202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201"/>
      <c r="AT31" s="201"/>
      <c r="AU31" s="201"/>
      <c r="AV31" s="201"/>
    </row>
    <row r="32" spans="1:48" ht="19.75" customHeight="1">
      <c r="A32" s="186">
        <v>45808</v>
      </c>
      <c r="B32" s="68"/>
      <c r="C32" s="69"/>
      <c r="D32" s="161"/>
      <c r="E32" s="249"/>
      <c r="F32" s="244"/>
      <c r="G32" s="162">
        <f t="shared" ref="G32" si="229">M31+D32</f>
        <v>508.94</v>
      </c>
      <c r="H32" s="94">
        <f t="shared" ref="H32" si="230">H31+K31+D32</f>
        <v>416.57923415442878</v>
      </c>
      <c r="I32" s="94">
        <f t="shared" ref="I32" si="231">I31+L31</f>
        <v>92.36076584557118</v>
      </c>
      <c r="J32" s="162">
        <f t="shared" ref="J32" si="232">M32-G32</f>
        <v>0</v>
      </c>
      <c r="K32" s="162">
        <f t="shared" ref="K32" si="233">J32*$C$40</f>
        <v>0</v>
      </c>
      <c r="L32" s="162">
        <f t="shared" ref="L32" si="234">J32*$C$41</f>
        <v>0</v>
      </c>
      <c r="M32" s="185">
        <v>508.94</v>
      </c>
      <c r="N32" s="164">
        <f t="shared" ref="N32" si="235">J32/G32</f>
        <v>0</v>
      </c>
      <c r="O32" s="124">
        <f t="shared" ref="O32" si="236">G32*$Y$2</f>
        <v>-53.438699999999997</v>
      </c>
      <c r="P32" s="126">
        <f t="shared" ref="P32" si="237">$W$2*G32</f>
        <v>11.70562</v>
      </c>
      <c r="Q32" s="188">
        <f t="shared" ref="Q32" si="238">K32/H32</f>
        <v>0</v>
      </c>
      <c r="R32" s="166">
        <f t="shared" ref="R32" si="239">G32*$Y$2</f>
        <v>-53.438699999999997</v>
      </c>
      <c r="S32" s="189">
        <f t="shared" ref="S32" si="240">H32*$W$2</f>
        <v>9.5813223855518626</v>
      </c>
      <c r="T32" s="121">
        <f t="shared" ref="T32" si="241">L32/I32</f>
        <v>0</v>
      </c>
      <c r="U32" s="136">
        <f t="shared" ref="U32" si="242">$Y$2*I32</f>
        <v>-9.6978804137849739</v>
      </c>
      <c r="V32" s="137">
        <f t="shared" ref="V32" si="243">$W$2*I32</f>
        <v>2.1242976144481371</v>
      </c>
      <c r="W32" s="202"/>
      <c r="X32" s="202"/>
      <c r="Y32" s="202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</row>
    <row r="33" spans="1:48" ht="16" thickBot="1">
      <c r="A33" s="186" t="s">
        <v>49</v>
      </c>
      <c r="B33" s="153">
        <f>COUNTA(B2:B32)</f>
        <v>13</v>
      </c>
      <c r="C33" s="154">
        <f>COUNTA(C2:C32)</f>
        <v>7</v>
      </c>
      <c r="D33" s="212"/>
      <c r="E33" s="212"/>
      <c r="F33" s="212"/>
      <c r="G33" s="207"/>
      <c r="H33" s="207"/>
      <c r="I33" s="155" t="s">
        <v>44</v>
      </c>
      <c r="J33" s="156">
        <f>SUM(J2:J32)</f>
        <v>17.819999999999936</v>
      </c>
      <c r="K33" s="156">
        <f>SUM(K2:K32)</f>
        <v>13.689234154428766</v>
      </c>
      <c r="L33" s="156">
        <f>SUM(L2:L32)</f>
        <v>4.1307658455711689</v>
      </c>
      <c r="M33" s="157" t="s">
        <v>19</v>
      </c>
      <c r="N33" s="158">
        <f>SUM(N2:N32)/SUM(B33,C33)</f>
        <v>3.1523925270099534E-3</v>
      </c>
      <c r="O33" s="205"/>
      <c r="P33" s="205"/>
      <c r="Q33" s="206"/>
      <c r="R33" s="207"/>
      <c r="S33" s="207"/>
      <c r="T33" s="207"/>
      <c r="U33" s="207"/>
      <c r="V33" s="207"/>
      <c r="W33" s="208"/>
      <c r="X33" s="208"/>
      <c r="Y33" s="208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201"/>
      <c r="AS33" s="201"/>
      <c r="AT33" s="201"/>
      <c r="AU33" s="201"/>
      <c r="AV33" s="201"/>
    </row>
    <row r="34" spans="1:48">
      <c r="A34" s="211"/>
      <c r="B34" s="211"/>
      <c r="C34" s="211"/>
      <c r="D34" s="211"/>
      <c r="E34" s="211"/>
      <c r="F34" s="211"/>
      <c r="G34" s="208"/>
      <c r="H34" s="208"/>
      <c r="I34" s="208"/>
      <c r="J34" s="208"/>
      <c r="K34" s="208"/>
      <c r="L34" s="208"/>
      <c r="M34" s="41" t="s">
        <v>30</v>
      </c>
      <c r="N34" s="128">
        <f>SUM(N2:N32)</f>
        <v>6.3047850540199069E-2</v>
      </c>
      <c r="O34" s="205"/>
      <c r="P34" s="205"/>
      <c r="Q34" s="209"/>
      <c r="R34" s="208"/>
      <c r="S34" s="208"/>
      <c r="T34" s="208"/>
      <c r="U34" s="208"/>
      <c r="V34" s="208"/>
      <c r="W34" s="208"/>
      <c r="X34" s="208"/>
      <c r="Y34" s="208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1"/>
      <c r="AT34" s="201"/>
      <c r="AU34" s="201"/>
      <c r="AV34" s="201"/>
    </row>
    <row r="35" spans="1:48">
      <c r="A35" s="190"/>
      <c r="B35" s="233" t="s">
        <v>180</v>
      </c>
      <c r="C35" s="234"/>
      <c r="D35" s="234"/>
      <c r="E35" s="234"/>
      <c r="F35" s="234"/>
      <c r="G35" s="208"/>
      <c r="H35" s="208"/>
      <c r="I35" s="208"/>
      <c r="J35" s="208"/>
      <c r="K35" s="208"/>
      <c r="L35" s="208"/>
      <c r="M35" s="201"/>
      <c r="N35" s="201"/>
      <c r="O35" s="201"/>
      <c r="P35" s="201"/>
      <c r="Q35" s="210"/>
      <c r="R35" s="208"/>
      <c r="S35" s="208"/>
      <c r="T35" s="208"/>
      <c r="U35" s="208"/>
      <c r="V35" s="208"/>
      <c r="W35" s="208"/>
      <c r="X35" s="208"/>
      <c r="Y35" s="208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</row>
    <row r="36" spans="1:48">
      <c r="A36" s="216"/>
      <c r="B36" s="233" t="s">
        <v>50</v>
      </c>
      <c r="C36" s="234"/>
      <c r="D36" s="234"/>
      <c r="E36" s="234"/>
      <c r="F36" s="234"/>
      <c r="G36" s="208"/>
      <c r="H36" s="208"/>
      <c r="I36" s="208"/>
      <c r="J36" s="208"/>
      <c r="K36" s="208"/>
      <c r="L36" s="208"/>
      <c r="M36" s="201"/>
      <c r="N36" s="201"/>
      <c r="O36" s="201"/>
      <c r="P36" s="201"/>
      <c r="Q36" s="210"/>
      <c r="R36" s="208"/>
      <c r="S36" s="208"/>
      <c r="T36" s="208"/>
      <c r="U36" s="208"/>
      <c r="V36" s="208"/>
      <c r="W36" s="208"/>
      <c r="X36" s="208"/>
      <c r="Y36" s="208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1"/>
      <c r="AT36" s="201"/>
      <c r="AU36" s="201"/>
      <c r="AV36" s="201"/>
    </row>
    <row r="37" spans="1:48">
      <c r="A37" s="217"/>
      <c r="B37" s="235" t="s">
        <v>56</v>
      </c>
      <c r="C37" s="236"/>
      <c r="D37" s="236"/>
      <c r="E37" s="236"/>
      <c r="F37" s="236"/>
      <c r="G37" s="213"/>
      <c r="H37" s="208"/>
      <c r="I37" s="208"/>
      <c r="J37" s="208"/>
      <c r="K37" s="208"/>
      <c r="L37" s="208"/>
      <c r="M37" s="201"/>
      <c r="N37" s="201"/>
      <c r="O37" s="201"/>
      <c r="P37" s="201"/>
      <c r="Q37" s="210"/>
      <c r="R37" s="208"/>
      <c r="S37" s="208"/>
      <c r="T37" s="208"/>
      <c r="U37" s="208"/>
      <c r="V37" s="208"/>
      <c r="W37" s="208"/>
      <c r="X37" s="208"/>
      <c r="Y37" s="208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1"/>
      <c r="AS37" s="201"/>
      <c r="AT37" s="201"/>
      <c r="AU37" s="201"/>
      <c r="AV37" s="201"/>
    </row>
    <row r="38" spans="1:48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</row>
    <row r="39" spans="1:48" ht="20" customHeight="1">
      <c r="A39" s="349" t="s">
        <v>105</v>
      </c>
      <c r="B39" s="350"/>
      <c r="C39" s="373" t="s">
        <v>165</v>
      </c>
      <c r="D39" s="374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</row>
    <row r="40" spans="1:48" ht="21" customHeight="1">
      <c r="A40" s="218" t="s">
        <v>42</v>
      </c>
      <c r="B40" s="218">
        <v>0.78647</v>
      </c>
      <c r="C40" s="375">
        <f>H23/G23</f>
        <v>0.8185232722018877</v>
      </c>
      <c r="D40" s="375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</row>
    <row r="41" spans="1:48" ht="21" customHeight="1">
      <c r="A41" s="218" t="s">
        <v>43</v>
      </c>
      <c r="B41" s="218">
        <f>1-B40</f>
        <v>0.21353</v>
      </c>
      <c r="C41" s="375">
        <f>I23/G23</f>
        <v>0.18147672779811211</v>
      </c>
      <c r="D41" s="375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</row>
    <row r="42" spans="1:48" ht="16" thickBot="1">
      <c r="A42" s="201"/>
      <c r="B42" s="214"/>
      <c r="C42" s="214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</row>
    <row r="43" spans="1:48" ht="21" customHeight="1">
      <c r="A43" s="215" t="s">
        <v>51</v>
      </c>
      <c r="B43" s="361" t="s">
        <v>52</v>
      </c>
      <c r="C43" s="362"/>
      <c r="D43" s="362"/>
      <c r="E43" s="362"/>
      <c r="F43" s="362"/>
      <c r="G43" s="362"/>
      <c r="H43" s="362"/>
      <c r="I43" s="362"/>
      <c r="J43" s="363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1"/>
      <c r="AT43" s="201"/>
      <c r="AU43" s="201"/>
      <c r="AV43" s="201"/>
    </row>
    <row r="44" spans="1:48" s="193" customFormat="1" ht="21" customHeight="1">
      <c r="A44" s="220">
        <v>45784</v>
      </c>
      <c r="B44" s="355" t="s">
        <v>53</v>
      </c>
      <c r="C44" s="356"/>
      <c r="D44" s="356"/>
      <c r="E44" s="356"/>
      <c r="F44" s="356"/>
      <c r="G44" s="356"/>
      <c r="H44" s="356"/>
      <c r="I44" s="356"/>
      <c r="J44" s="357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</row>
    <row r="45" spans="1:48" s="193" customFormat="1" ht="21" customHeight="1">
      <c r="A45" s="220">
        <v>45788</v>
      </c>
      <c r="B45" s="355" t="s">
        <v>54</v>
      </c>
      <c r="C45" s="356"/>
      <c r="D45" s="356"/>
      <c r="E45" s="356"/>
      <c r="F45" s="356"/>
      <c r="G45" s="356"/>
      <c r="H45" s="356"/>
      <c r="I45" s="356"/>
      <c r="J45" s="357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</row>
    <row r="46" spans="1:48" ht="21" customHeight="1">
      <c r="A46" s="220">
        <v>45791</v>
      </c>
      <c r="B46" s="358" t="s">
        <v>55</v>
      </c>
      <c r="C46" s="359"/>
      <c r="D46" s="359"/>
      <c r="E46" s="359"/>
      <c r="F46" s="359"/>
      <c r="G46" s="359"/>
      <c r="H46" s="359"/>
      <c r="I46" s="359"/>
      <c r="J46" s="360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</row>
    <row r="47" spans="1:48" ht="51" customHeight="1" thickBot="1">
      <c r="A47" s="221">
        <v>45792</v>
      </c>
      <c r="B47" s="351" t="s">
        <v>57</v>
      </c>
      <c r="C47" s="352"/>
      <c r="D47" s="352"/>
      <c r="E47" s="352"/>
      <c r="F47" s="352"/>
      <c r="G47" s="352"/>
      <c r="H47" s="352"/>
      <c r="I47" s="352"/>
      <c r="J47" s="353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1"/>
      <c r="AT47" s="201"/>
      <c r="AU47" s="201"/>
      <c r="AV47" s="201"/>
    </row>
    <row r="48" spans="1:48" ht="114" customHeight="1" thickBot="1">
      <c r="A48" s="221">
        <v>45796</v>
      </c>
      <c r="B48" s="351" t="s">
        <v>149</v>
      </c>
      <c r="C48" s="352"/>
      <c r="D48" s="352"/>
      <c r="E48" s="352"/>
      <c r="F48" s="352"/>
      <c r="G48" s="352"/>
      <c r="H48" s="352"/>
      <c r="I48" s="352"/>
      <c r="J48" s="353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</row>
    <row r="49" spans="1:48" ht="105" customHeight="1">
      <c r="A49" s="262">
        <v>45798</v>
      </c>
      <c r="B49" s="370" t="s">
        <v>159</v>
      </c>
      <c r="C49" s="371"/>
      <c r="D49" s="371"/>
      <c r="E49" s="371"/>
      <c r="F49" s="371"/>
      <c r="G49" s="371"/>
      <c r="H49" s="371"/>
      <c r="I49" s="371"/>
      <c r="J49" s="372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</row>
    <row r="50" spans="1:48" ht="39" customHeight="1">
      <c r="A50" s="368">
        <v>45799</v>
      </c>
      <c r="B50" s="369" t="s">
        <v>226</v>
      </c>
      <c r="C50" s="369"/>
      <c r="D50" s="369"/>
      <c r="E50" s="369"/>
      <c r="F50" s="369"/>
      <c r="G50" s="369"/>
      <c r="H50" s="369"/>
      <c r="I50" s="369"/>
      <c r="J50" s="369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</row>
    <row r="51" spans="1:48">
      <c r="A51" s="368"/>
      <c r="B51" s="369"/>
      <c r="C51" s="369"/>
      <c r="D51" s="369"/>
      <c r="E51" s="369"/>
      <c r="F51" s="369"/>
      <c r="G51" s="369"/>
      <c r="H51" s="369"/>
      <c r="I51" s="369"/>
      <c r="J51" s="369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201"/>
      <c r="AT51" s="201"/>
      <c r="AU51" s="201"/>
      <c r="AV51" s="201"/>
    </row>
    <row r="52" spans="1:48">
      <c r="A52" s="368"/>
      <c r="B52" s="369"/>
      <c r="C52" s="369"/>
      <c r="D52" s="369"/>
      <c r="E52" s="369"/>
      <c r="F52" s="369"/>
      <c r="G52" s="369"/>
      <c r="H52" s="369"/>
      <c r="I52" s="369"/>
      <c r="J52" s="369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201"/>
      <c r="AT52" s="201"/>
      <c r="AU52" s="201"/>
      <c r="AV52" s="201"/>
    </row>
    <row r="53" spans="1:48">
      <c r="A53" s="368"/>
      <c r="B53" s="369"/>
      <c r="C53" s="369"/>
      <c r="D53" s="369"/>
      <c r="E53" s="369"/>
      <c r="F53" s="369"/>
      <c r="G53" s="369"/>
      <c r="H53" s="369"/>
      <c r="I53" s="369"/>
      <c r="J53" s="369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  <c r="AK53" s="201"/>
      <c r="AL53" s="201"/>
      <c r="AM53" s="201"/>
      <c r="AN53" s="201"/>
      <c r="AO53" s="201"/>
      <c r="AP53" s="201"/>
      <c r="AQ53" s="201"/>
      <c r="AR53" s="201"/>
      <c r="AS53" s="201"/>
      <c r="AT53" s="201"/>
      <c r="AU53" s="201"/>
      <c r="AV53" s="201"/>
    </row>
    <row r="54" spans="1:48">
      <c r="A54" s="368"/>
      <c r="B54" s="369"/>
      <c r="C54" s="369"/>
      <c r="D54" s="369"/>
      <c r="E54" s="369"/>
      <c r="F54" s="369"/>
      <c r="G54" s="369"/>
      <c r="H54" s="369"/>
      <c r="I54" s="369"/>
      <c r="J54" s="369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201"/>
      <c r="AT54" s="201"/>
      <c r="AU54" s="201"/>
      <c r="AV54" s="201"/>
    </row>
    <row r="55" spans="1:48">
      <c r="A55" s="368"/>
      <c r="B55" s="369"/>
      <c r="C55" s="369"/>
      <c r="D55" s="369"/>
      <c r="E55" s="369"/>
      <c r="F55" s="369"/>
      <c r="G55" s="369"/>
      <c r="H55" s="369"/>
      <c r="I55" s="369"/>
      <c r="J55" s="369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201"/>
      <c r="AT55" s="201"/>
      <c r="AU55" s="201"/>
      <c r="AV55" s="201"/>
    </row>
    <row r="56" spans="1:48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201"/>
      <c r="AT56" s="201"/>
      <c r="AU56" s="201"/>
      <c r="AV56" s="201"/>
    </row>
    <row r="57" spans="1:48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1"/>
      <c r="AT57" s="201"/>
      <c r="AU57" s="201"/>
      <c r="AV57" s="201"/>
    </row>
    <row r="58" spans="1:48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201"/>
      <c r="AT58" s="201"/>
      <c r="AU58" s="201"/>
      <c r="AV58" s="201"/>
    </row>
    <row r="59" spans="1:48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201"/>
      <c r="AT59" s="201"/>
      <c r="AU59" s="201"/>
      <c r="AV59" s="201"/>
    </row>
    <row r="60" spans="1:48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1"/>
      <c r="AT60" s="201"/>
      <c r="AU60" s="201"/>
      <c r="AV60" s="201"/>
    </row>
    <row r="61" spans="1:48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1"/>
      <c r="AT61" s="201"/>
      <c r="AU61" s="201"/>
      <c r="AV61" s="201"/>
    </row>
    <row r="62" spans="1:48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1"/>
      <c r="AT62" s="201"/>
      <c r="AU62" s="201"/>
      <c r="AV62" s="201"/>
    </row>
    <row r="63" spans="1:48">
      <c r="A63" s="201"/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1"/>
      <c r="AT63" s="201"/>
      <c r="AU63" s="201"/>
      <c r="AV63" s="201"/>
    </row>
    <row r="64" spans="1:48">
      <c r="A64" s="201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1"/>
      <c r="AT64" s="201"/>
      <c r="AU64" s="201"/>
      <c r="AV64" s="201"/>
    </row>
    <row r="65" spans="1:48">
      <c r="A65" s="201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1"/>
      <c r="AT65" s="201"/>
      <c r="AU65" s="201"/>
      <c r="AV65" s="201"/>
    </row>
    <row r="66" spans="1:48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1"/>
      <c r="AT66" s="201"/>
      <c r="AU66" s="201"/>
      <c r="AV66" s="201"/>
    </row>
    <row r="67" spans="1:48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1"/>
      <c r="AT67" s="201"/>
      <c r="AU67" s="201"/>
      <c r="AV67" s="201"/>
    </row>
    <row r="68" spans="1:48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1"/>
      <c r="AT68" s="201"/>
      <c r="AU68" s="201"/>
      <c r="AV68" s="201"/>
    </row>
    <row r="69" spans="1:48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201"/>
      <c r="AT69" s="201"/>
      <c r="AU69" s="201"/>
      <c r="AV69" s="201"/>
    </row>
    <row r="70" spans="1:48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1"/>
      <c r="AE70" s="201"/>
      <c r="AF70" s="201"/>
      <c r="AG70" s="20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  <c r="AS70" s="201"/>
      <c r="AT70" s="201"/>
      <c r="AU70" s="201"/>
      <c r="AV70" s="201"/>
    </row>
    <row r="71" spans="1:48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  <c r="AB71" s="201"/>
      <c r="AC71" s="201"/>
      <c r="AD71" s="201"/>
      <c r="AE71" s="201"/>
      <c r="AF71" s="201"/>
      <c r="AG71" s="20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  <c r="AS71" s="201"/>
      <c r="AT71" s="201"/>
      <c r="AU71" s="201"/>
      <c r="AV71" s="201"/>
    </row>
    <row r="72" spans="1:48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  <c r="AC72" s="201"/>
      <c r="AD72" s="201"/>
      <c r="AE72" s="201"/>
      <c r="AF72" s="201"/>
      <c r="AG72" s="201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  <c r="AS72" s="201"/>
      <c r="AT72" s="201"/>
      <c r="AU72" s="201"/>
      <c r="AV72" s="201"/>
    </row>
    <row r="73" spans="1:48">
      <c r="A73" s="201"/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  <c r="AC73" s="201"/>
      <c r="AD73" s="201"/>
      <c r="AE73" s="201"/>
      <c r="AF73" s="201"/>
      <c r="AG73" s="201"/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  <c r="AS73" s="201"/>
      <c r="AT73" s="201"/>
      <c r="AU73" s="201"/>
      <c r="AV73" s="201"/>
    </row>
    <row r="74" spans="1:48">
      <c r="A74" s="201"/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</row>
    <row r="75" spans="1:48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</row>
    <row r="76" spans="1:48">
      <c r="A76" s="201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</row>
    <row r="77" spans="1:48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</row>
  </sheetData>
  <mergeCells count="25">
    <mergeCell ref="A50:A55"/>
    <mergeCell ref="B50:J55"/>
    <mergeCell ref="W10:Y11"/>
    <mergeCell ref="B48:J48"/>
    <mergeCell ref="B49:J49"/>
    <mergeCell ref="C39:D39"/>
    <mergeCell ref="C40:D40"/>
    <mergeCell ref="C41:D41"/>
    <mergeCell ref="W14:Y15"/>
    <mergeCell ref="AD1:AT3"/>
    <mergeCell ref="A39:B39"/>
    <mergeCell ref="B47:J47"/>
    <mergeCell ref="W1:X1"/>
    <mergeCell ref="W16:Y17"/>
    <mergeCell ref="W18:Y19"/>
    <mergeCell ref="B44:J44"/>
    <mergeCell ref="B45:J45"/>
    <mergeCell ref="B46:J46"/>
    <mergeCell ref="B43:J43"/>
    <mergeCell ref="W2:X2"/>
    <mergeCell ref="W3:Y3"/>
    <mergeCell ref="AA1:AB2"/>
    <mergeCell ref="AA8:AB8"/>
    <mergeCell ref="W9:Y9"/>
    <mergeCell ref="W12:Y13"/>
  </mergeCells>
  <conditionalFormatting sqref="N2:N32">
    <cfRule type="cellIs" dxfId="15" priority="5" stopIfTrue="1" operator="equal">
      <formula>0</formula>
    </cfRule>
    <cfRule type="cellIs" dxfId="14" priority="6" operator="lessThan">
      <formula>0</formula>
    </cfRule>
  </conditionalFormatting>
  <conditionalFormatting sqref="Q2:Q32">
    <cfRule type="cellIs" dxfId="13" priority="4" operator="equal">
      <formula>0</formula>
    </cfRule>
    <cfRule type="colorScale" priority="7">
      <colorScale>
        <cfvo type="formula" val="0"/>
        <cfvo type="formula" val="0"/>
        <color rgb="FFFF0000"/>
        <color rgb="FF00B050"/>
      </colorScale>
    </cfRule>
  </conditionalFormatting>
  <conditionalFormatting sqref="T2:T32">
    <cfRule type="cellIs" dxfId="12" priority="1" operator="lessThan">
      <formula>0</formula>
    </cfRule>
    <cfRule type="cellIs" dxfId="11" priority="2" operator="greaterThan">
      <formula>0</formula>
    </cfRule>
    <cfRule type="cellIs" dxfId="10" priority="3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E36E-B2A5-6744-8129-74CBF90CB7FC}">
  <dimension ref="A1:AV76"/>
  <sheetViews>
    <sheetView tabSelected="1" workbookViewId="0">
      <selection activeCell="E37" sqref="E37"/>
    </sheetView>
  </sheetViews>
  <sheetFormatPr baseColWidth="10" defaultRowHeight="15"/>
  <cols>
    <col min="4" max="4" width="8.83203125" bestFit="1" customWidth="1"/>
    <col min="5" max="5" width="25.83203125" bestFit="1" customWidth="1"/>
    <col min="6" max="6" width="25.1640625" bestFit="1" customWidth="1"/>
    <col min="13" max="13" width="14.1640625" bestFit="1" customWidth="1"/>
    <col min="14" max="16" width="10" customWidth="1"/>
    <col min="17" max="17" width="11.5" bestFit="1" customWidth="1"/>
    <col min="18" max="19" width="10" customWidth="1"/>
    <col min="20" max="20" width="12.33203125" bestFit="1" customWidth="1"/>
    <col min="21" max="22" width="10" customWidth="1"/>
    <col min="25" max="25" width="11.83203125" bestFit="1" customWidth="1"/>
    <col min="27" max="27" width="16.83203125" customWidth="1"/>
  </cols>
  <sheetData>
    <row r="1" spans="1:48" ht="17" thickBot="1">
      <c r="A1" s="239" t="s">
        <v>0</v>
      </c>
      <c r="B1" s="105" t="s">
        <v>1</v>
      </c>
      <c r="C1" s="106" t="s">
        <v>2</v>
      </c>
      <c r="D1" s="107" t="s">
        <v>32</v>
      </c>
      <c r="E1" s="237" t="s">
        <v>115</v>
      </c>
      <c r="F1" s="238" t="s">
        <v>116</v>
      </c>
      <c r="G1" s="103" t="s">
        <v>13</v>
      </c>
      <c r="H1" s="103" t="s">
        <v>35</v>
      </c>
      <c r="I1" s="103" t="s">
        <v>31</v>
      </c>
      <c r="J1" s="115" t="s">
        <v>45</v>
      </c>
      <c r="K1" s="300" t="s">
        <v>36</v>
      </c>
      <c r="L1" s="300" t="s">
        <v>33</v>
      </c>
      <c r="M1" s="24" t="s">
        <v>39</v>
      </c>
      <c r="N1" s="122" t="s">
        <v>16</v>
      </c>
      <c r="O1" s="123" t="s">
        <v>3</v>
      </c>
      <c r="P1" s="122" t="s">
        <v>4</v>
      </c>
      <c r="Q1" s="25" t="s">
        <v>37</v>
      </c>
      <c r="R1" s="26" t="s">
        <v>3</v>
      </c>
      <c r="S1" s="125" t="s">
        <v>4</v>
      </c>
      <c r="T1" s="119" t="s">
        <v>38</v>
      </c>
      <c r="U1" s="98" t="s">
        <v>3</v>
      </c>
      <c r="V1" s="97" t="s">
        <v>34</v>
      </c>
      <c r="W1" s="342" t="s">
        <v>17</v>
      </c>
      <c r="X1" s="308"/>
      <c r="Y1" s="33" t="s">
        <v>5</v>
      </c>
      <c r="Z1" s="201"/>
      <c r="AA1" s="366" t="s">
        <v>143</v>
      </c>
      <c r="AB1" s="366"/>
      <c r="AC1" s="201"/>
      <c r="AD1" s="348" t="s">
        <v>229</v>
      </c>
      <c r="AE1" s="348"/>
      <c r="AF1" s="348"/>
      <c r="AG1" s="348"/>
      <c r="AH1" s="348"/>
      <c r="AI1" s="348"/>
      <c r="AJ1" s="348"/>
      <c r="AK1" s="348"/>
      <c r="AL1" s="348"/>
      <c r="AM1" s="348"/>
      <c r="AN1" s="348"/>
      <c r="AO1" s="348"/>
      <c r="AP1" s="348"/>
      <c r="AQ1" s="348"/>
      <c r="AR1" s="348"/>
      <c r="AS1" s="348"/>
      <c r="AT1" s="348"/>
      <c r="AU1" s="201"/>
      <c r="AV1" s="201"/>
    </row>
    <row r="2" spans="1:48" ht="21">
      <c r="A2" s="194">
        <v>45809</v>
      </c>
      <c r="B2" s="12" t="s">
        <v>10</v>
      </c>
      <c r="C2" s="13"/>
      <c r="D2" s="99"/>
      <c r="E2" s="245" t="s">
        <v>126</v>
      </c>
      <c r="F2" s="240" t="s">
        <v>218</v>
      </c>
      <c r="G2" s="88">
        <v>508.74</v>
      </c>
      <c r="H2" s="117">
        <f>G2*$B$39</f>
        <v>416.4138648</v>
      </c>
      <c r="I2" s="118">
        <f>G2*$B$40</f>
        <v>92.326135199999982</v>
      </c>
      <c r="J2" s="118">
        <f>M2-G2</f>
        <v>1.8000000000000114</v>
      </c>
      <c r="K2" s="162">
        <f>J2*$B$39</f>
        <v>1.4733360000000093</v>
      </c>
      <c r="L2" s="162">
        <f>J2*$B$40</f>
        <v>0.32666400000000201</v>
      </c>
      <c r="M2" s="298">
        <v>510.54</v>
      </c>
      <c r="N2" s="127">
        <f t="shared" ref="N2" si="0">J2/G2</f>
        <v>3.5381530840901273E-3</v>
      </c>
      <c r="O2" s="124">
        <f t="shared" ref="O2" si="1">G2*$Y$2</f>
        <v>-53.417699999999996</v>
      </c>
      <c r="P2" s="126">
        <f>$W$2*G2</f>
        <v>11.70102</v>
      </c>
      <c r="Q2" s="187">
        <f t="shared" ref="Q2" si="2">K2/H2</f>
        <v>3.5381530840901273E-3</v>
      </c>
      <c r="R2" s="166">
        <f t="shared" ref="R2:S4" si="3">O2*$B$39</f>
        <v>-43.723455803999997</v>
      </c>
      <c r="S2" s="181">
        <f t="shared" si="3"/>
        <v>9.5775188904000004</v>
      </c>
      <c r="T2" s="121">
        <f t="shared" ref="T2" si="4">L2/I2</f>
        <v>3.5381530840901273E-3</v>
      </c>
      <c r="U2" s="136">
        <f t="shared" ref="U2:V4" si="5">O2*$B$40</f>
        <v>-9.6942441959999979</v>
      </c>
      <c r="V2" s="137">
        <f t="shared" si="5"/>
        <v>2.1235011095999998</v>
      </c>
      <c r="W2" s="364">
        <v>2.3E-2</v>
      </c>
      <c r="X2" s="365"/>
      <c r="Y2" s="251">
        <f>X8</f>
        <v>-0.105</v>
      </c>
      <c r="Z2" s="201"/>
      <c r="AA2" s="366"/>
      <c r="AB2" s="366"/>
      <c r="AC2" s="201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201"/>
      <c r="AV2" s="201"/>
    </row>
    <row r="3" spans="1:48" ht="19">
      <c r="A3" s="194">
        <v>45810</v>
      </c>
      <c r="B3" s="12" t="s">
        <v>10</v>
      </c>
      <c r="C3" s="13"/>
      <c r="D3" s="101"/>
      <c r="E3" s="246" t="s">
        <v>234</v>
      </c>
      <c r="F3" s="241" t="s">
        <v>235</v>
      </c>
      <c r="G3" s="88">
        <f>M2</f>
        <v>510.54</v>
      </c>
      <c r="H3" s="117">
        <f>G3*$B$39</f>
        <v>417.88720080000002</v>
      </c>
      <c r="I3" s="118">
        <f>G3*$B$40</f>
        <v>92.65279919999999</v>
      </c>
      <c r="J3" s="118">
        <f>M3-G3</f>
        <v>6.3199999999999932</v>
      </c>
      <c r="K3" s="162">
        <f>J3*$B$39</f>
        <v>5.1730463999999943</v>
      </c>
      <c r="L3" s="162">
        <f>J3*$B$40</f>
        <v>1.1469535999999987</v>
      </c>
      <c r="M3" s="298">
        <v>516.86</v>
      </c>
      <c r="N3" s="127">
        <f t="shared" ref="N3" si="6">J3/G3</f>
        <v>1.2379049633721145E-2</v>
      </c>
      <c r="O3" s="124">
        <f t="shared" ref="O3" si="7">G3*$Y$2</f>
        <v>-53.606700000000004</v>
      </c>
      <c r="P3" s="126">
        <f>$W$2*G3</f>
        <v>11.742420000000001</v>
      </c>
      <c r="Q3" s="187">
        <f t="shared" ref="Q3" si="8">K3/H3</f>
        <v>1.2379049633721145E-2</v>
      </c>
      <c r="R3" s="166">
        <f t="shared" si="3"/>
        <v>-43.878156084000004</v>
      </c>
      <c r="S3" s="181">
        <f t="shared" si="3"/>
        <v>9.611405618400001</v>
      </c>
      <c r="T3" s="121">
        <f t="shared" ref="T3" si="9">L3/I3</f>
        <v>1.2379049633721145E-2</v>
      </c>
      <c r="U3" s="136">
        <f t="shared" si="5"/>
        <v>-9.7285439159999996</v>
      </c>
      <c r="V3" s="137">
        <f t="shared" si="5"/>
        <v>2.1310143816</v>
      </c>
      <c r="W3" s="345" t="s">
        <v>11</v>
      </c>
      <c r="X3" s="317"/>
      <c r="Y3" s="317"/>
      <c r="Z3" s="201"/>
      <c r="AA3" s="252" t="s">
        <v>119</v>
      </c>
      <c r="AB3" s="252" t="s">
        <v>148</v>
      </c>
      <c r="AC3" s="201"/>
      <c r="AD3" s="348"/>
      <c r="AE3" s="348"/>
      <c r="AF3" s="348"/>
      <c r="AG3" s="348"/>
      <c r="AH3" s="348"/>
      <c r="AI3" s="348"/>
      <c r="AJ3" s="348"/>
      <c r="AK3" s="348"/>
      <c r="AL3" s="348"/>
      <c r="AM3" s="348"/>
      <c r="AN3" s="348"/>
      <c r="AO3" s="348"/>
      <c r="AP3" s="348"/>
      <c r="AQ3" s="348"/>
      <c r="AR3" s="348"/>
      <c r="AS3" s="348"/>
      <c r="AT3" s="348"/>
      <c r="AU3" s="201"/>
      <c r="AV3" s="201"/>
    </row>
    <row r="4" spans="1:48" ht="19">
      <c r="A4" s="80">
        <v>45811</v>
      </c>
      <c r="B4" s="12"/>
      <c r="C4" s="13" t="s">
        <v>9</v>
      </c>
      <c r="D4" s="100"/>
      <c r="E4" s="246" t="s">
        <v>241</v>
      </c>
      <c r="F4" s="241" t="s">
        <v>242</v>
      </c>
      <c r="G4" s="88">
        <f>M3</f>
        <v>516.86</v>
      </c>
      <c r="H4" s="117">
        <f>G4*$B$39</f>
        <v>423.06024720000005</v>
      </c>
      <c r="I4" s="118">
        <f>G4*$B$40</f>
        <v>93.799752799999993</v>
      </c>
      <c r="J4" s="118">
        <f>M4-G4</f>
        <v>-7.2400000000000091</v>
      </c>
      <c r="K4" s="162">
        <f>J4*$B$39</f>
        <v>-5.9260848000000079</v>
      </c>
      <c r="L4" s="162">
        <f>J4*$B$40</f>
        <v>-1.3139152000000014</v>
      </c>
      <c r="M4" s="299">
        <v>509.62</v>
      </c>
      <c r="N4" s="127">
        <f t="shared" ref="N4" si="10">J4/G4</f>
        <v>-1.4007661649189353E-2</v>
      </c>
      <c r="O4" s="124">
        <f t="shared" ref="O4" si="11">G4*$Y$2</f>
        <v>-54.270299999999999</v>
      </c>
      <c r="P4" s="126">
        <f>$W$2*G4</f>
        <v>11.887779999999999</v>
      </c>
      <c r="Q4" s="187">
        <f t="shared" ref="Q4" si="12">K4/H4</f>
        <v>-1.4007661649189353E-2</v>
      </c>
      <c r="R4" s="166">
        <f t="shared" si="3"/>
        <v>-44.421325956000004</v>
      </c>
      <c r="S4" s="181">
        <f t="shared" si="3"/>
        <v>9.7303856855999999</v>
      </c>
      <c r="T4" s="121">
        <f t="shared" ref="T4" si="13">L4/I4</f>
        <v>-1.4007661649189351E-2</v>
      </c>
      <c r="U4" s="136">
        <f t="shared" si="5"/>
        <v>-9.8489740439999984</v>
      </c>
      <c r="V4" s="137">
        <f t="shared" si="5"/>
        <v>2.1573943143999994</v>
      </c>
      <c r="W4" s="95" t="s">
        <v>138</v>
      </c>
      <c r="X4" s="77">
        <v>1.15E-2</v>
      </c>
      <c r="Y4" s="110">
        <f>X4*G2</f>
        <v>5.8505099999999999</v>
      </c>
      <c r="Z4" s="201"/>
      <c r="AA4" s="253" t="s">
        <v>144</v>
      </c>
      <c r="AB4" s="254">
        <f>- (3.6/G2)</f>
        <v>-7.0763061681802103E-3</v>
      </c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</row>
    <row r="5" spans="1:48" ht="19">
      <c r="A5" s="194">
        <v>45812</v>
      </c>
      <c r="B5" s="12" t="s">
        <v>10</v>
      </c>
      <c r="C5" s="13"/>
      <c r="D5" s="100"/>
      <c r="E5" s="246" t="s">
        <v>46</v>
      </c>
      <c r="F5" s="241" t="s">
        <v>46</v>
      </c>
      <c r="G5" s="88">
        <f>M4</f>
        <v>509.62</v>
      </c>
      <c r="H5" s="117">
        <f>G5*$B$39</f>
        <v>417.13416240000004</v>
      </c>
      <c r="I5" s="118">
        <f>G5*$B$40</f>
        <v>92.485837599999982</v>
      </c>
      <c r="J5" s="118">
        <f>M5-G5</f>
        <v>9.2200000000000273</v>
      </c>
      <c r="K5" s="162">
        <f>J5*$B$39</f>
        <v>7.5467544000000224</v>
      </c>
      <c r="L5" s="162">
        <f>J5*$B$40</f>
        <v>1.6732456000000047</v>
      </c>
      <c r="M5" s="182">
        <v>518.84</v>
      </c>
      <c r="N5" s="127">
        <f t="shared" ref="N5" si="14">J5/G5</f>
        <v>1.8091911620423114E-2</v>
      </c>
      <c r="O5" s="124">
        <f t="shared" ref="O5" si="15">G5*$Y$2</f>
        <v>-53.510100000000001</v>
      </c>
      <c r="P5" s="126">
        <f>$W$2*G5</f>
        <v>11.721259999999999</v>
      </c>
      <c r="Q5" s="187">
        <f t="shared" ref="Q5" si="16">K5/H5</f>
        <v>1.8091911620423111E-2</v>
      </c>
      <c r="R5" s="166">
        <f t="shared" ref="R5" si="17">O5*$B$39</f>
        <v>-43.799087052000004</v>
      </c>
      <c r="S5" s="181">
        <f t="shared" ref="S5" si="18">P5*$B$39</f>
        <v>9.5940857352000002</v>
      </c>
      <c r="T5" s="121">
        <f t="shared" ref="T5" si="19">L5/I5</f>
        <v>1.8091911620423114E-2</v>
      </c>
      <c r="U5" s="136">
        <f t="shared" ref="U5" si="20">O5*$B$40</f>
        <v>-9.7110129479999987</v>
      </c>
      <c r="V5" s="137">
        <f t="shared" ref="V5" si="21">P5*$B$40</f>
        <v>2.1271742647999994</v>
      </c>
      <c r="W5" s="95" t="s">
        <v>139</v>
      </c>
      <c r="X5" s="77">
        <v>2.3E-2</v>
      </c>
      <c r="Y5" s="110">
        <f>G2*X5</f>
        <v>11.70102</v>
      </c>
      <c r="Z5" s="201"/>
      <c r="AA5" s="253" t="s">
        <v>145</v>
      </c>
      <c r="AB5" s="254">
        <f>-(7.8/G2)</f>
        <v>-1.5331996697723787E-2</v>
      </c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1"/>
      <c r="AQ5" s="201"/>
      <c r="AR5" s="201"/>
      <c r="AS5" s="201"/>
      <c r="AT5" s="201"/>
      <c r="AU5" s="201"/>
      <c r="AV5" s="201"/>
    </row>
    <row r="6" spans="1:48" ht="19">
      <c r="A6" s="186">
        <v>45813</v>
      </c>
      <c r="B6" s="10"/>
      <c r="C6" s="65"/>
      <c r="D6" s="101"/>
      <c r="E6" s="246" t="s">
        <v>46</v>
      </c>
      <c r="F6" s="241" t="s">
        <v>46</v>
      </c>
      <c r="G6" s="88">
        <f>M5</f>
        <v>518.84</v>
      </c>
      <c r="H6" s="117">
        <f>G6*$B$39</f>
        <v>424.68091680000003</v>
      </c>
      <c r="I6" s="118">
        <f>G6*$B$40</f>
        <v>94.159083199999998</v>
      </c>
      <c r="J6" s="118">
        <f>M6-G6</f>
        <v>0</v>
      </c>
      <c r="K6" s="162">
        <f>J6*$B$39</f>
        <v>0</v>
      </c>
      <c r="L6" s="162">
        <f>J6*$B$40</f>
        <v>0</v>
      </c>
      <c r="M6" s="182">
        <v>518.84</v>
      </c>
      <c r="N6" s="127">
        <f t="shared" ref="N6:N11" si="22">J6/G6</f>
        <v>0</v>
      </c>
      <c r="O6" s="124">
        <f t="shared" ref="O6:O9" si="23">G6*$Y$2</f>
        <v>-54.478200000000001</v>
      </c>
      <c r="P6" s="126">
        <f t="shared" ref="P6:P9" si="24">$W$2*G6</f>
        <v>11.93332</v>
      </c>
      <c r="Q6" s="187">
        <f t="shared" ref="Q6:Q9" si="25">K6/H6</f>
        <v>0</v>
      </c>
      <c r="R6" s="166">
        <f t="shared" ref="R6:R9" si="26">O6*$B$39</f>
        <v>-44.591496264</v>
      </c>
      <c r="S6" s="181">
        <f t="shared" ref="S6:S9" si="27">P6*$B$39</f>
        <v>9.7676610864000004</v>
      </c>
      <c r="T6" s="121">
        <f t="shared" ref="T6:T9" si="28">L6/I6</f>
        <v>0</v>
      </c>
      <c r="U6" s="136">
        <f t="shared" ref="U6:U9" si="29">O6*$B$40</f>
        <v>-9.8867037359999994</v>
      </c>
      <c r="V6" s="137">
        <f t="shared" ref="V6:V9" si="30">P6*$B$40</f>
        <v>2.1656589135999997</v>
      </c>
      <c r="W6" s="95" t="s">
        <v>140</v>
      </c>
      <c r="X6" s="77">
        <f>X4+(AVERAGE(AB4:AB5))</f>
        <v>2.9584856704800017E-4</v>
      </c>
      <c r="Y6" s="110">
        <f>X6*G2</f>
        <v>0.15050999999999962</v>
      </c>
      <c r="Z6" s="201"/>
      <c r="AA6" s="253" t="s">
        <v>146</v>
      </c>
      <c r="AB6" s="255">
        <f>-(13.1/G2)</f>
        <v>-2.5749891889766875E-2</v>
      </c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</row>
    <row r="7" spans="1:48" ht="19">
      <c r="A7" s="186">
        <v>45814</v>
      </c>
      <c r="B7" s="10"/>
      <c r="C7" s="65"/>
      <c r="D7" s="100"/>
      <c r="E7" s="246" t="s">
        <v>46</v>
      </c>
      <c r="F7" s="241" t="s">
        <v>46</v>
      </c>
      <c r="G7" s="88">
        <f t="shared" ref="G7:G9" si="31">M6</f>
        <v>518.84</v>
      </c>
      <c r="H7" s="117">
        <f t="shared" ref="H7:H11" si="32">G7*$B$39</f>
        <v>424.68091680000003</v>
      </c>
      <c r="I7" s="118">
        <f t="shared" ref="I7:I9" si="33">G7*$B$40</f>
        <v>94.159083199999998</v>
      </c>
      <c r="J7" s="118">
        <f t="shared" ref="J7:J11" si="34">M7-G7</f>
        <v>0</v>
      </c>
      <c r="K7" s="162">
        <f t="shared" ref="K7:K11" si="35">J7*$B$39</f>
        <v>0</v>
      </c>
      <c r="L7" s="162">
        <f t="shared" ref="L7:L11" si="36">J7*$B$40</f>
        <v>0</v>
      </c>
      <c r="M7" s="182">
        <v>518.84</v>
      </c>
      <c r="N7" s="127">
        <f t="shared" si="22"/>
        <v>0</v>
      </c>
      <c r="O7" s="124">
        <f t="shared" si="23"/>
        <v>-54.478200000000001</v>
      </c>
      <c r="P7" s="126">
        <f t="shared" si="24"/>
        <v>11.93332</v>
      </c>
      <c r="Q7" s="187">
        <f t="shared" si="25"/>
        <v>0</v>
      </c>
      <c r="R7" s="166">
        <f t="shared" si="26"/>
        <v>-44.591496264</v>
      </c>
      <c r="S7" s="181">
        <f t="shared" si="27"/>
        <v>9.7676610864000004</v>
      </c>
      <c r="T7" s="121">
        <f t="shared" si="28"/>
        <v>0</v>
      </c>
      <c r="U7" s="136">
        <f t="shared" si="29"/>
        <v>-9.8867037359999994</v>
      </c>
      <c r="V7" s="137">
        <f t="shared" si="30"/>
        <v>2.1656589135999997</v>
      </c>
      <c r="W7" s="96" t="s">
        <v>141</v>
      </c>
      <c r="X7" s="78">
        <f>AB4*2</f>
        <v>-1.4152612336360421E-2</v>
      </c>
      <c r="Y7" s="110">
        <f>G2*X7</f>
        <v>-7.2</v>
      </c>
      <c r="Z7" s="201"/>
      <c r="AA7" s="253" t="s">
        <v>147</v>
      </c>
      <c r="AB7" s="255">
        <f>-(20.5/G2)</f>
        <v>-4.0295632346581747E-2</v>
      </c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1"/>
      <c r="AU7" s="201"/>
      <c r="AV7" s="201"/>
    </row>
    <row r="8" spans="1:48" ht="19">
      <c r="A8" s="186">
        <v>45815</v>
      </c>
      <c r="B8" s="10"/>
      <c r="C8" s="65"/>
      <c r="D8" s="100"/>
      <c r="E8" s="246" t="s">
        <v>46</v>
      </c>
      <c r="F8" s="241" t="s">
        <v>46</v>
      </c>
      <c r="G8" s="88">
        <f t="shared" si="31"/>
        <v>518.84</v>
      </c>
      <c r="H8" s="117">
        <f t="shared" si="32"/>
        <v>424.68091680000003</v>
      </c>
      <c r="I8" s="118">
        <f t="shared" si="33"/>
        <v>94.159083199999998</v>
      </c>
      <c r="J8" s="118">
        <f t="shared" si="34"/>
        <v>0</v>
      </c>
      <c r="K8" s="162">
        <f t="shared" si="35"/>
        <v>0</v>
      </c>
      <c r="L8" s="162">
        <f t="shared" si="36"/>
        <v>0</v>
      </c>
      <c r="M8" s="182">
        <v>518.84</v>
      </c>
      <c r="N8" s="127">
        <f t="shared" si="22"/>
        <v>0</v>
      </c>
      <c r="O8" s="124">
        <f t="shared" si="23"/>
        <v>-54.478200000000001</v>
      </c>
      <c r="P8" s="126">
        <f t="shared" si="24"/>
        <v>11.93332</v>
      </c>
      <c r="Q8" s="187">
        <f t="shared" si="25"/>
        <v>0</v>
      </c>
      <c r="R8" s="166">
        <f t="shared" si="26"/>
        <v>-44.591496264</v>
      </c>
      <c r="S8" s="181">
        <f t="shared" si="27"/>
        <v>9.7676610864000004</v>
      </c>
      <c r="T8" s="121">
        <f t="shared" si="28"/>
        <v>0</v>
      </c>
      <c r="U8" s="136">
        <f t="shared" si="29"/>
        <v>-9.8867037359999994</v>
      </c>
      <c r="V8" s="137">
        <f t="shared" si="30"/>
        <v>2.1656589135999997</v>
      </c>
      <c r="W8" s="96" t="s">
        <v>142</v>
      </c>
      <c r="X8" s="78">
        <v>-0.105</v>
      </c>
      <c r="Y8" s="256">
        <f>X8*G2</f>
        <v>-53.417699999999996</v>
      </c>
      <c r="Z8" s="201"/>
      <c r="AA8" s="367" t="s">
        <v>150</v>
      </c>
      <c r="AB8" s="367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</row>
    <row r="9" spans="1:48" ht="21">
      <c r="A9" s="186">
        <v>45816</v>
      </c>
      <c r="B9" s="10"/>
      <c r="C9" s="65"/>
      <c r="D9" s="100"/>
      <c r="E9" s="246" t="s">
        <v>46</v>
      </c>
      <c r="F9" s="241" t="s">
        <v>46</v>
      </c>
      <c r="G9" s="88">
        <f t="shared" si="31"/>
        <v>518.84</v>
      </c>
      <c r="H9" s="117">
        <f t="shared" si="32"/>
        <v>424.68091680000003</v>
      </c>
      <c r="I9" s="118">
        <f t="shared" si="33"/>
        <v>94.159083199999998</v>
      </c>
      <c r="J9" s="118">
        <f t="shared" si="34"/>
        <v>0</v>
      </c>
      <c r="K9" s="162">
        <f t="shared" si="35"/>
        <v>0</v>
      </c>
      <c r="L9" s="162">
        <f t="shared" si="36"/>
        <v>0</v>
      </c>
      <c r="M9" s="182">
        <v>518.84</v>
      </c>
      <c r="N9" s="127">
        <f t="shared" si="22"/>
        <v>0</v>
      </c>
      <c r="O9" s="124">
        <f t="shared" si="23"/>
        <v>-54.478200000000001</v>
      </c>
      <c r="P9" s="126">
        <f t="shared" si="24"/>
        <v>11.93332</v>
      </c>
      <c r="Q9" s="187">
        <f t="shared" si="25"/>
        <v>0</v>
      </c>
      <c r="R9" s="166">
        <f t="shared" si="26"/>
        <v>-44.591496264</v>
      </c>
      <c r="S9" s="181">
        <f t="shared" si="27"/>
        <v>9.7676610864000004</v>
      </c>
      <c r="T9" s="121">
        <f t="shared" si="28"/>
        <v>0</v>
      </c>
      <c r="U9" s="136">
        <f t="shared" si="29"/>
        <v>-9.8867037359999994</v>
      </c>
      <c r="V9" s="137">
        <f t="shared" si="30"/>
        <v>2.1656589135999997</v>
      </c>
      <c r="W9" s="334" t="s">
        <v>4</v>
      </c>
      <c r="X9" s="334"/>
      <c r="Y9" s="335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</row>
    <row r="10" spans="1:48">
      <c r="A10" s="80">
        <v>45817</v>
      </c>
      <c r="B10" s="12" t="s">
        <v>10</v>
      </c>
      <c r="C10" s="13"/>
      <c r="D10" s="100"/>
      <c r="E10" s="246" t="s">
        <v>246</v>
      </c>
      <c r="F10" s="241" t="s">
        <v>133</v>
      </c>
      <c r="G10" s="88">
        <f t="shared" ref="G10" si="37">M9</f>
        <v>518.84</v>
      </c>
      <c r="H10" s="117">
        <f t="shared" si="32"/>
        <v>424.68091680000003</v>
      </c>
      <c r="I10" s="118">
        <f t="shared" ref="I10" si="38">G10*$B$40</f>
        <v>94.159083199999998</v>
      </c>
      <c r="J10" s="93">
        <f t="shared" si="34"/>
        <v>7.5599999999999454</v>
      </c>
      <c r="K10" s="94">
        <f t="shared" si="35"/>
        <v>6.1880111999999556</v>
      </c>
      <c r="L10" s="94">
        <f t="shared" si="36"/>
        <v>1.3719887999999898</v>
      </c>
      <c r="M10" s="182">
        <v>526.4</v>
      </c>
      <c r="N10" s="164">
        <f t="shared" si="22"/>
        <v>1.4570966001079225E-2</v>
      </c>
      <c r="O10" s="124">
        <f t="shared" ref="O10" si="39">G10*$Y$2</f>
        <v>-54.478200000000001</v>
      </c>
      <c r="P10" s="126">
        <f t="shared" ref="P10" si="40">$W$2*G10</f>
        <v>11.93332</v>
      </c>
      <c r="Q10" s="187">
        <f t="shared" ref="Q10:Q11" si="41">K10/H10</f>
        <v>1.4570966001079225E-2</v>
      </c>
      <c r="R10" s="166">
        <f t="shared" ref="R10" si="42">O10*$B$39</f>
        <v>-44.591496264</v>
      </c>
      <c r="S10" s="181">
        <f t="shared" ref="S10" si="43">P10*$B$39</f>
        <v>9.7676610864000004</v>
      </c>
      <c r="T10" s="121">
        <f t="shared" ref="T10:T11" si="44">L10/I10</f>
        <v>1.4570966001079223E-2</v>
      </c>
      <c r="U10" s="136">
        <f t="shared" ref="U10" si="45">O10*$B$40</f>
        <v>-9.8867037359999994</v>
      </c>
      <c r="V10" s="137">
        <f t="shared" ref="V10" si="46">P10*$B$40</f>
        <v>2.1656589135999997</v>
      </c>
      <c r="W10" s="338">
        <v>50</v>
      </c>
      <c r="X10" s="346"/>
      <c r="Y10" s="346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</row>
    <row r="11" spans="1:48">
      <c r="A11" s="194">
        <v>45818</v>
      </c>
      <c r="B11" s="12"/>
      <c r="C11" s="13" t="s">
        <v>9</v>
      </c>
      <c r="D11" s="100"/>
      <c r="E11" s="246" t="s">
        <v>247</v>
      </c>
      <c r="F11" s="241" t="s">
        <v>248</v>
      </c>
      <c r="G11" s="88">
        <f t="shared" ref="G11" si="47">M10</f>
        <v>526.4</v>
      </c>
      <c r="H11" s="117">
        <f t="shared" si="32"/>
        <v>430.86892799999998</v>
      </c>
      <c r="I11" s="118">
        <f t="shared" ref="I11" si="48">G11*$B$40</f>
        <v>95.53107199999998</v>
      </c>
      <c r="J11" s="93">
        <f t="shared" si="34"/>
        <v>-35.099999999999966</v>
      </c>
      <c r="K11" s="94">
        <f t="shared" si="35"/>
        <v>-28.730051999999972</v>
      </c>
      <c r="L11" s="94">
        <f t="shared" si="36"/>
        <v>-6.3699479999999928</v>
      </c>
      <c r="M11" s="182">
        <v>491.3</v>
      </c>
      <c r="N11" s="164">
        <f t="shared" si="22"/>
        <v>-6.6679331306990816E-2</v>
      </c>
      <c r="O11" s="124">
        <f t="shared" ref="O11" si="49">G11*$Y$2</f>
        <v>-55.271999999999998</v>
      </c>
      <c r="P11" s="126">
        <f t="shared" ref="P11" si="50">$W$2*G11</f>
        <v>12.107199999999999</v>
      </c>
      <c r="Q11" s="188">
        <f t="shared" si="41"/>
        <v>-6.6679331306990816E-2</v>
      </c>
      <c r="R11" s="166">
        <f t="shared" ref="R11" si="51">O11*$B$39</f>
        <v>-45.241237439999999</v>
      </c>
      <c r="S11" s="181">
        <f t="shared" ref="S11" si="52">P11*$B$39</f>
        <v>9.909985343999999</v>
      </c>
      <c r="T11" s="121">
        <f t="shared" si="44"/>
        <v>-6.6679331306990816E-2</v>
      </c>
      <c r="U11" s="136">
        <f t="shared" ref="U11" si="53">O11*$B$40</f>
        <v>-10.030762559999998</v>
      </c>
      <c r="V11" s="137">
        <f t="shared" ref="V11" si="54">P11*$B$40</f>
        <v>2.1972146559999994</v>
      </c>
      <c r="W11" s="347"/>
      <c r="X11" s="346"/>
      <c r="Y11" s="346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201"/>
      <c r="AT11" s="201"/>
      <c r="AU11" s="201"/>
      <c r="AV11" s="201"/>
    </row>
    <row r="12" spans="1:48">
      <c r="A12" s="186">
        <v>45819</v>
      </c>
      <c r="B12" s="10"/>
      <c r="C12" s="65"/>
      <c r="D12" s="100"/>
      <c r="E12" s="246"/>
      <c r="F12" s="241"/>
      <c r="G12" s="88">
        <f t="shared" ref="G12" si="55">M11</f>
        <v>491.3</v>
      </c>
      <c r="H12" s="117">
        <f t="shared" ref="H12" si="56">G12*$B$39</f>
        <v>402.13887600000004</v>
      </c>
      <c r="I12" s="118">
        <f t="shared" ref="I12" si="57">G12*$B$40</f>
        <v>89.161123999999987</v>
      </c>
      <c r="J12" s="93">
        <f t="shared" ref="J12" si="58">M12-G12</f>
        <v>0</v>
      </c>
      <c r="K12" s="94">
        <f t="shared" ref="K12" si="59">J12*$B$39</f>
        <v>0</v>
      </c>
      <c r="L12" s="94">
        <f t="shared" ref="L12" si="60">J12*$B$40</f>
        <v>0</v>
      </c>
      <c r="M12" s="182">
        <v>491.3</v>
      </c>
      <c r="N12" s="164">
        <f t="shared" ref="N12" si="61">J12/G12</f>
        <v>0</v>
      </c>
      <c r="O12" s="124">
        <f t="shared" ref="O12" si="62">G12*$Y$2</f>
        <v>-51.586500000000001</v>
      </c>
      <c r="P12" s="126">
        <f t="shared" ref="P12" si="63">$W$2*G12</f>
        <v>11.299900000000001</v>
      </c>
      <c r="Q12" s="188">
        <f t="shared" ref="Q12" si="64">K12/H12</f>
        <v>0</v>
      </c>
      <c r="R12" s="166">
        <f t="shared" ref="R12" si="65">O12*$B$39</f>
        <v>-42.224581980000004</v>
      </c>
      <c r="S12" s="181">
        <f t="shared" ref="S12" si="66">P12*$B$39</f>
        <v>9.2491941480000008</v>
      </c>
      <c r="T12" s="121">
        <f t="shared" ref="T12" si="67">L12/I12</f>
        <v>0</v>
      </c>
      <c r="U12" s="136">
        <f t="shared" ref="U12" si="68">O12*$B$40</f>
        <v>-9.3619180199999992</v>
      </c>
      <c r="V12" s="137">
        <f t="shared" ref="V12" si="69">P12*$B$40</f>
        <v>2.0507058520000001</v>
      </c>
      <c r="W12" s="336" t="s">
        <v>6</v>
      </c>
      <c r="X12" s="323"/>
      <c r="Y12" s="323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201"/>
      <c r="AT12" s="201"/>
      <c r="AU12" s="201"/>
      <c r="AV12" s="201"/>
    </row>
    <row r="13" spans="1:48">
      <c r="A13" s="80">
        <v>45820</v>
      </c>
      <c r="B13" s="12" t="s">
        <v>10</v>
      </c>
      <c r="C13" s="13"/>
      <c r="D13" s="100"/>
      <c r="E13" s="246" t="s">
        <v>251</v>
      </c>
      <c r="F13" s="241" t="s">
        <v>250</v>
      </c>
      <c r="G13" s="88">
        <f t="shared" ref="G13" si="70">M12</f>
        <v>491.3</v>
      </c>
      <c r="H13" s="117">
        <f t="shared" ref="H13" si="71">G13*$B$39</f>
        <v>402.13887600000004</v>
      </c>
      <c r="I13" s="118">
        <f t="shared" ref="I13" si="72">G13*$B$40</f>
        <v>89.161123999999987</v>
      </c>
      <c r="J13" s="93">
        <f t="shared" ref="J13" si="73">M13-G13</f>
        <v>21.400000000000034</v>
      </c>
      <c r="K13" s="94">
        <f t="shared" ref="K13" si="74">J13*$B$39</f>
        <v>17.51632800000003</v>
      </c>
      <c r="L13" s="94">
        <f t="shared" ref="L13" si="75">J13*$B$40</f>
        <v>3.8836720000000056</v>
      </c>
      <c r="M13" s="182">
        <v>512.70000000000005</v>
      </c>
      <c r="N13" s="164">
        <f t="shared" ref="N13" si="76">J13/G13</f>
        <v>4.3557907592102652E-2</v>
      </c>
      <c r="O13" s="124">
        <f t="shared" ref="O13" si="77">G13*$Y$2</f>
        <v>-51.586500000000001</v>
      </c>
      <c r="P13" s="126">
        <f t="shared" ref="P13" si="78">$W$2*G13</f>
        <v>11.299900000000001</v>
      </c>
      <c r="Q13" s="188">
        <f t="shared" ref="Q13" si="79">K13/H13</f>
        <v>4.3557907592102658E-2</v>
      </c>
      <c r="R13" s="166">
        <f t="shared" ref="R13" si="80">O13*$B$39</f>
        <v>-42.224581980000004</v>
      </c>
      <c r="S13" s="181">
        <f t="shared" ref="S13" si="81">P13*$B$39</f>
        <v>9.2491941480000008</v>
      </c>
      <c r="T13" s="121">
        <f t="shared" ref="T13" si="82">L13/I13</f>
        <v>4.3557907592102652E-2</v>
      </c>
      <c r="U13" s="136">
        <f t="shared" ref="U13" si="83">O13*$B$40</f>
        <v>-9.3619180199999992</v>
      </c>
      <c r="V13" s="137">
        <f t="shared" ref="V13" si="84">P13*$B$40</f>
        <v>2.0507058520000001</v>
      </c>
      <c r="W13" s="337"/>
      <c r="X13" s="323"/>
      <c r="Y13" s="323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201"/>
      <c r="AT13" s="201"/>
      <c r="AU13" s="201"/>
      <c r="AV13" s="201"/>
    </row>
    <row r="14" spans="1:48">
      <c r="A14" s="186">
        <v>45821</v>
      </c>
      <c r="B14" s="10"/>
      <c r="C14" s="65"/>
      <c r="D14" s="100"/>
      <c r="E14" s="246"/>
      <c r="F14" s="241"/>
      <c r="G14" s="88">
        <f t="shared" ref="G14" si="85">M13</f>
        <v>512.70000000000005</v>
      </c>
      <c r="H14" s="117">
        <f t="shared" ref="H14" si="86">G14*$B$39</f>
        <v>419.65520400000003</v>
      </c>
      <c r="I14" s="118">
        <f t="shared" ref="I14" si="87">G14*$B$40</f>
        <v>93.044795999999991</v>
      </c>
      <c r="J14" s="93">
        <f t="shared" ref="J14:J15" si="88">M14-G14</f>
        <v>0</v>
      </c>
      <c r="K14" s="94">
        <f t="shared" ref="K14:K15" si="89">J14*$B$39</f>
        <v>0</v>
      </c>
      <c r="L14" s="94">
        <f t="shared" ref="L14:L15" si="90">J14*$B$40</f>
        <v>0</v>
      </c>
      <c r="M14" s="182">
        <v>512.70000000000005</v>
      </c>
      <c r="N14" s="164">
        <f t="shared" ref="N14:N15" si="91">J14/G14</f>
        <v>0</v>
      </c>
      <c r="O14" s="124">
        <f t="shared" ref="O14" si="92">G14*$Y$2</f>
        <v>-53.833500000000001</v>
      </c>
      <c r="P14" s="126">
        <f t="shared" ref="P14" si="93">$W$2*G14</f>
        <v>11.792100000000001</v>
      </c>
      <c r="Q14" s="188">
        <f t="shared" ref="Q14" si="94">K14/H14</f>
        <v>0</v>
      </c>
      <c r="R14" s="166">
        <f t="shared" ref="R14" si="95">O14*$B$39</f>
        <v>-44.063796420000003</v>
      </c>
      <c r="S14" s="181">
        <f t="shared" ref="S14" si="96">P14*$B$39</f>
        <v>9.6520696920000013</v>
      </c>
      <c r="T14" s="121">
        <f t="shared" ref="T14" si="97">L14/I14</f>
        <v>0</v>
      </c>
      <c r="U14" s="136">
        <f t="shared" ref="U14" si="98">O14*$B$40</f>
        <v>-9.7697035799999981</v>
      </c>
      <c r="V14" s="137">
        <f t="shared" ref="V14" si="99">P14*$B$40</f>
        <v>2.140030308</v>
      </c>
      <c r="W14" s="338">
        <f>J32</f>
        <v>46.779999999999973</v>
      </c>
      <c r="X14" s="339"/>
      <c r="Y14" s="339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</row>
    <row r="15" spans="1:48">
      <c r="A15" s="80">
        <v>45822</v>
      </c>
      <c r="B15" s="12" t="s">
        <v>10</v>
      </c>
      <c r="C15" s="13"/>
      <c r="D15" s="100"/>
      <c r="E15" s="246" t="s">
        <v>254</v>
      </c>
      <c r="F15" s="241" t="s">
        <v>254</v>
      </c>
      <c r="G15" s="88">
        <f t="shared" ref="G15" si="100">M14</f>
        <v>512.70000000000005</v>
      </c>
      <c r="H15" s="117">
        <f t="shared" ref="H15" si="101">G15*$B$39</f>
        <v>419.65520400000003</v>
      </c>
      <c r="I15" s="118">
        <f t="shared" ref="I15" si="102">G15*$B$40</f>
        <v>93.044795999999991</v>
      </c>
      <c r="J15" s="94">
        <f t="shared" si="88"/>
        <v>7.8799999999999955</v>
      </c>
      <c r="K15" s="94">
        <f t="shared" si="89"/>
        <v>6.4499375999999966</v>
      </c>
      <c r="L15" s="94">
        <f t="shared" si="90"/>
        <v>1.4300623999999991</v>
      </c>
      <c r="M15" s="182">
        <v>520.58000000000004</v>
      </c>
      <c r="N15" s="164">
        <f t="shared" si="91"/>
        <v>1.5369611858786804E-2</v>
      </c>
      <c r="O15" s="124">
        <f t="shared" ref="O15" si="103">G15*$Y$2</f>
        <v>-53.833500000000001</v>
      </c>
      <c r="P15" s="126">
        <f t="shared" ref="P15" si="104">$W$2*G15</f>
        <v>11.792100000000001</v>
      </c>
      <c r="Q15" s="188">
        <f t="shared" ref="Q15" si="105">K15/H15</f>
        <v>1.5369611858786806E-2</v>
      </c>
      <c r="R15" s="166">
        <f t="shared" ref="R15" si="106">O15*$B$39</f>
        <v>-44.063796420000003</v>
      </c>
      <c r="S15" s="181">
        <f t="shared" ref="S15" si="107">P15*$B$39</f>
        <v>9.6520696920000013</v>
      </c>
      <c r="T15" s="121">
        <f t="shared" ref="T15" si="108">L15/I15</f>
        <v>1.5369611858786806E-2</v>
      </c>
      <c r="U15" s="136">
        <f t="shared" ref="U15" si="109">O15*$B$40</f>
        <v>-9.7697035799999981</v>
      </c>
      <c r="V15" s="137">
        <f t="shared" ref="V15" si="110">P15*$B$40</f>
        <v>2.140030308</v>
      </c>
      <c r="W15" s="340"/>
      <c r="X15" s="341"/>
      <c r="Y15" s="34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</row>
    <row r="16" spans="1:48">
      <c r="A16" s="186">
        <v>45823</v>
      </c>
      <c r="B16" s="10"/>
      <c r="C16" s="65"/>
      <c r="D16" s="100"/>
      <c r="E16" s="246"/>
      <c r="F16" s="241"/>
      <c r="G16" s="88">
        <f t="shared" ref="G16" si="111">M15</f>
        <v>520.58000000000004</v>
      </c>
      <c r="H16" s="117">
        <f t="shared" ref="H16" si="112">G16*$B$39</f>
        <v>426.10514160000002</v>
      </c>
      <c r="I16" s="118">
        <f t="shared" ref="I16" si="113">G16*$B$40</f>
        <v>94.474858399999988</v>
      </c>
      <c r="J16" s="94">
        <f t="shared" ref="J16" si="114">M16-G16</f>
        <v>0</v>
      </c>
      <c r="K16" s="94">
        <f t="shared" ref="K16" si="115">J16*$B$39</f>
        <v>0</v>
      </c>
      <c r="L16" s="94">
        <f t="shared" ref="L16" si="116">J16*$B$40</f>
        <v>0</v>
      </c>
      <c r="M16" s="182">
        <v>520.58000000000004</v>
      </c>
      <c r="N16" s="164">
        <f t="shared" ref="N16" si="117">J16/G16</f>
        <v>0</v>
      </c>
      <c r="O16" s="124">
        <f t="shared" ref="O16" si="118">G16*$Y$2</f>
        <v>-54.660900000000005</v>
      </c>
      <c r="P16" s="126">
        <f t="shared" ref="P16" si="119">$W$2*G16</f>
        <v>11.97334</v>
      </c>
      <c r="Q16" s="188">
        <f t="shared" ref="Q16" si="120">K16/H16</f>
        <v>0</v>
      </c>
      <c r="R16" s="166">
        <f t="shared" ref="R16" si="121">O16*$B$39</f>
        <v>-44.741039868000009</v>
      </c>
      <c r="S16" s="181">
        <f t="shared" ref="S16" si="122">P16*$B$39</f>
        <v>9.8004182568000004</v>
      </c>
      <c r="T16" s="121">
        <f t="shared" ref="T16" si="123">L16/I16</f>
        <v>0</v>
      </c>
      <c r="U16" s="136">
        <f t="shared" ref="U16" si="124">O16*$B$40</f>
        <v>-9.9198601320000002</v>
      </c>
      <c r="V16" s="137">
        <f t="shared" ref="V16" si="125">P16*$B$40</f>
        <v>2.1729217431999999</v>
      </c>
      <c r="W16" s="354"/>
      <c r="X16" s="354"/>
      <c r="Y16" s="354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</row>
    <row r="17" spans="1:48">
      <c r="A17" s="80">
        <v>45824</v>
      </c>
      <c r="B17" s="12" t="s">
        <v>10</v>
      </c>
      <c r="C17" s="13"/>
      <c r="D17" s="100"/>
      <c r="E17" s="246" t="s">
        <v>256</v>
      </c>
      <c r="F17" s="241" t="s">
        <v>255</v>
      </c>
      <c r="G17" s="88">
        <f t="shared" ref="G17" si="126">M16</f>
        <v>520.58000000000004</v>
      </c>
      <c r="H17" s="117">
        <f t="shared" ref="H17" si="127">G17*$B$39</f>
        <v>426.10514160000002</v>
      </c>
      <c r="I17" s="118">
        <f t="shared" ref="I17" si="128">G17*$B$40</f>
        <v>94.474858399999988</v>
      </c>
      <c r="J17" s="94">
        <f t="shared" ref="J17:J18" si="129">M17-G17</f>
        <v>11.759999999999991</v>
      </c>
      <c r="K17" s="94">
        <f t="shared" ref="K17:K18" si="130">J17*$B$39</f>
        <v>9.6257951999999936</v>
      </c>
      <c r="L17" s="94">
        <f t="shared" ref="L17:L18" si="131">J17*$B$40</f>
        <v>2.1342047999999982</v>
      </c>
      <c r="M17" s="182">
        <v>532.34</v>
      </c>
      <c r="N17" s="164">
        <f t="shared" ref="N17:N18" si="132">J17/G17</f>
        <v>2.2590187867378674E-2</v>
      </c>
      <c r="O17" s="124">
        <f t="shared" ref="O17" si="133">G17*$Y$2</f>
        <v>-54.660900000000005</v>
      </c>
      <c r="P17" s="126">
        <f t="shared" ref="P17" si="134">$W$2*G17</f>
        <v>11.97334</v>
      </c>
      <c r="Q17" s="188">
        <f t="shared" ref="Q17" si="135">K17/H17</f>
        <v>2.2590187867378677E-2</v>
      </c>
      <c r="R17" s="166">
        <f t="shared" ref="R17" si="136">O17*$B$39</f>
        <v>-44.741039868000009</v>
      </c>
      <c r="S17" s="181">
        <f t="shared" ref="S17" si="137">P17*$B$39</f>
        <v>9.8004182568000004</v>
      </c>
      <c r="T17" s="121">
        <f t="shared" ref="T17" si="138">L17/I17</f>
        <v>2.2590187867378677E-2</v>
      </c>
      <c r="U17" s="136">
        <f t="shared" ref="U17" si="139">O17*$B$40</f>
        <v>-9.9198601320000002</v>
      </c>
      <c r="V17" s="137">
        <f t="shared" ref="V17" si="140">P17*$B$40</f>
        <v>2.1729217431999999</v>
      </c>
      <c r="W17" s="354"/>
      <c r="X17" s="354"/>
      <c r="Y17" s="354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</row>
    <row r="18" spans="1:48">
      <c r="A18" s="80">
        <v>45825</v>
      </c>
      <c r="B18" s="12" t="s">
        <v>10</v>
      </c>
      <c r="C18" s="13"/>
      <c r="D18" s="100"/>
      <c r="E18" s="246" t="s">
        <v>256</v>
      </c>
      <c r="F18" s="241" t="s">
        <v>255</v>
      </c>
      <c r="G18" s="88">
        <f t="shared" ref="G18" si="141">M17</f>
        <v>532.34</v>
      </c>
      <c r="H18" s="117">
        <f t="shared" ref="H18" si="142">G18*$B$39</f>
        <v>435.73093680000005</v>
      </c>
      <c r="I18" s="118">
        <f t="shared" ref="I18" si="143">G18*$B$40</f>
        <v>96.609063199999994</v>
      </c>
      <c r="J18" s="94">
        <f t="shared" si="129"/>
        <v>10.799999999999955</v>
      </c>
      <c r="K18" s="94">
        <f t="shared" si="130"/>
        <v>8.840015999999963</v>
      </c>
      <c r="L18" s="94">
        <f t="shared" si="131"/>
        <v>1.9599839999999915</v>
      </c>
      <c r="M18" s="182">
        <v>543.14</v>
      </c>
      <c r="N18" s="164">
        <f t="shared" si="132"/>
        <v>2.0287786001427572E-2</v>
      </c>
      <c r="O18" s="124">
        <f t="shared" ref="O18" si="144">G18*$Y$2</f>
        <v>-55.895699999999998</v>
      </c>
      <c r="P18" s="126">
        <f t="shared" ref="P18" si="145">$W$2*G18</f>
        <v>12.243820000000001</v>
      </c>
      <c r="Q18" s="188">
        <f t="shared" ref="Q18" si="146">K18/H18</f>
        <v>2.0287786001427572E-2</v>
      </c>
      <c r="R18" s="166">
        <f t="shared" ref="R18" si="147">O18*$B$39</f>
        <v>-45.751748364000001</v>
      </c>
      <c r="S18" s="181">
        <f t="shared" ref="S18" si="148">P18*$B$39</f>
        <v>10.021811546400002</v>
      </c>
      <c r="T18" s="121">
        <f t="shared" ref="T18" si="149">L18/I18</f>
        <v>2.0287786001427572E-2</v>
      </c>
      <c r="U18" s="136">
        <f t="shared" ref="U18" si="150">O18*$B$40</f>
        <v>-10.143951635999999</v>
      </c>
      <c r="V18" s="137">
        <f t="shared" ref="V18" si="151">P18*$B$40</f>
        <v>2.2220084536</v>
      </c>
      <c r="W18" s="354"/>
      <c r="X18" s="354"/>
      <c r="Y18" s="354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</row>
    <row r="19" spans="1:48">
      <c r="A19" s="186">
        <v>45826</v>
      </c>
      <c r="B19" s="10"/>
      <c r="C19" s="65"/>
      <c r="D19" s="100"/>
      <c r="E19" s="246"/>
      <c r="F19" s="241"/>
      <c r="G19" s="88">
        <f>M18</f>
        <v>543.14</v>
      </c>
      <c r="H19" s="117">
        <f>G19*$B$39</f>
        <v>444.57095279999999</v>
      </c>
      <c r="I19" s="118">
        <f>G19*$B$40</f>
        <v>98.569047199999986</v>
      </c>
      <c r="J19" s="94">
        <f t="shared" ref="J19" si="152">M19-G19</f>
        <v>0</v>
      </c>
      <c r="K19" s="94">
        <f t="shared" ref="K19" si="153">J19*$B$39</f>
        <v>0</v>
      </c>
      <c r="L19" s="94">
        <f t="shared" ref="L19" si="154">J19*$B$40</f>
        <v>0</v>
      </c>
      <c r="M19" s="182">
        <v>543.14</v>
      </c>
      <c r="N19" s="164">
        <f t="shared" ref="N19" si="155">J19/G19</f>
        <v>0</v>
      </c>
      <c r="O19" s="124">
        <f t="shared" ref="O19" si="156">G19*$Y$2</f>
        <v>-57.029699999999998</v>
      </c>
      <c r="P19" s="126">
        <f t="shared" ref="P19" si="157">$W$2*G19</f>
        <v>12.49222</v>
      </c>
      <c r="Q19" s="188">
        <f t="shared" ref="Q19" si="158">K19/H19</f>
        <v>0</v>
      </c>
      <c r="R19" s="166">
        <f t="shared" ref="R19" si="159">O19*$B$39</f>
        <v>-46.679950044000002</v>
      </c>
      <c r="S19" s="181">
        <f t="shared" ref="S19" si="160">P19*$B$39</f>
        <v>10.2251319144</v>
      </c>
      <c r="T19" s="121">
        <f t="shared" ref="T19" si="161">L19/I19</f>
        <v>0</v>
      </c>
      <c r="U19" s="136">
        <f t="shared" ref="U19" si="162">O19*$B$40</f>
        <v>-10.349749955999998</v>
      </c>
      <c r="V19" s="137">
        <f t="shared" ref="V19" si="163">P19*$B$40</f>
        <v>2.2670880855999997</v>
      </c>
      <c r="W19" s="354"/>
      <c r="X19" s="354"/>
      <c r="Y19" s="354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</row>
    <row r="20" spans="1:48">
      <c r="A20" s="80">
        <v>45827</v>
      </c>
      <c r="B20" s="12"/>
      <c r="C20" s="13" t="s">
        <v>9</v>
      </c>
      <c r="D20" s="100"/>
      <c r="E20" s="246" t="s">
        <v>257</v>
      </c>
      <c r="F20" s="241" t="s">
        <v>258</v>
      </c>
      <c r="G20" s="88">
        <f>M19</f>
        <v>543.14</v>
      </c>
      <c r="H20" s="117">
        <f>G20*$B$39</f>
        <v>444.57095279999999</v>
      </c>
      <c r="I20" s="118">
        <f>G20*$B$40</f>
        <v>98.569047199999986</v>
      </c>
      <c r="J20" s="94">
        <f t="shared" ref="J20" si="164">M20-G20</f>
        <v>-13.199999999999932</v>
      </c>
      <c r="K20" s="94">
        <f t="shared" ref="K20" si="165">J20*$B$39</f>
        <v>-10.804463999999944</v>
      </c>
      <c r="L20" s="94">
        <f t="shared" ref="L20" si="166">J20*$B$40</f>
        <v>-2.3955359999999875</v>
      </c>
      <c r="M20" s="182">
        <v>529.94000000000005</v>
      </c>
      <c r="N20" s="164">
        <f t="shared" ref="N20" si="167">J20/G20</f>
        <v>-2.4303126265787702E-2</v>
      </c>
      <c r="O20" s="124">
        <f t="shared" ref="O20" si="168">G20*$Y$2</f>
        <v>-57.029699999999998</v>
      </c>
      <c r="P20" s="126">
        <f t="shared" ref="P20" si="169">$W$2*G20</f>
        <v>12.49222</v>
      </c>
      <c r="Q20" s="188">
        <f t="shared" ref="Q20" si="170">K20/H20</f>
        <v>-2.4303126265787702E-2</v>
      </c>
      <c r="R20" s="166">
        <f t="shared" ref="R20" si="171">O20*$B$39</f>
        <v>-46.679950044000002</v>
      </c>
      <c r="S20" s="181">
        <f t="shared" ref="S20" si="172">P20*$B$39</f>
        <v>10.2251319144</v>
      </c>
      <c r="T20" s="121">
        <f t="shared" ref="T20" si="173">L20/I20</f>
        <v>-2.4303126265787702E-2</v>
      </c>
      <c r="U20" s="136">
        <f t="shared" ref="U20" si="174">O20*$B$40</f>
        <v>-10.349749955999998</v>
      </c>
      <c r="V20" s="137">
        <f t="shared" ref="V20" si="175">P20*$B$40</f>
        <v>2.2670880855999997</v>
      </c>
      <c r="W20" s="202"/>
      <c r="X20" s="203"/>
      <c r="Y20" s="202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</row>
    <row r="21" spans="1:48">
      <c r="A21" s="186">
        <v>45828</v>
      </c>
      <c r="B21" s="10"/>
      <c r="C21" s="65"/>
      <c r="D21" s="100"/>
      <c r="E21" s="247"/>
      <c r="F21" s="242"/>
      <c r="G21" s="88">
        <f>M20</f>
        <v>529.94000000000005</v>
      </c>
      <c r="H21" s="117">
        <f>G21*$B$39</f>
        <v>433.76648880000005</v>
      </c>
      <c r="I21" s="118">
        <f>G21*$B$40</f>
        <v>96.173511199999993</v>
      </c>
      <c r="J21" s="94">
        <f t="shared" ref="J21" si="176">M21-G21</f>
        <v>0</v>
      </c>
      <c r="K21" s="94">
        <f t="shared" ref="K21" si="177">J21*$B$39</f>
        <v>0</v>
      </c>
      <c r="L21" s="94">
        <f t="shared" ref="L21" si="178">J21*$B$40</f>
        <v>0</v>
      </c>
      <c r="M21" s="182">
        <v>529.94000000000005</v>
      </c>
      <c r="N21" s="164">
        <f t="shared" ref="N21" si="179">J21/G21</f>
        <v>0</v>
      </c>
      <c r="O21" s="124">
        <f t="shared" ref="O21" si="180">G21*$Y$2</f>
        <v>-55.643700000000003</v>
      </c>
      <c r="P21" s="126">
        <f t="shared" ref="P21" si="181">$W$2*G21</f>
        <v>12.18862</v>
      </c>
      <c r="Q21" s="188">
        <f t="shared" ref="Q21" si="182">K21/H21</f>
        <v>0</v>
      </c>
      <c r="R21" s="166">
        <f t="shared" ref="R21" si="183">O21*$B$39</f>
        <v>-45.545481324000001</v>
      </c>
      <c r="S21" s="181">
        <f t="shared" ref="S21" si="184">P21*$B$39</f>
        <v>9.9766292424000014</v>
      </c>
      <c r="T21" s="121">
        <f t="shared" ref="T21" si="185">L21/I21</f>
        <v>0</v>
      </c>
      <c r="U21" s="136">
        <f t="shared" ref="U21" si="186">O21*$B$40</f>
        <v>-10.098218675999998</v>
      </c>
      <c r="V21" s="137">
        <f t="shared" ref="V21" si="187">P21*$B$40</f>
        <v>2.2119907575999997</v>
      </c>
      <c r="W21" s="202"/>
      <c r="X21" s="202"/>
      <c r="Y21" s="202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</row>
    <row r="22" spans="1:48">
      <c r="A22" s="186">
        <v>45829</v>
      </c>
      <c r="B22" s="10"/>
      <c r="C22" s="65"/>
      <c r="D22" s="260"/>
      <c r="E22" s="248"/>
      <c r="F22" s="243"/>
      <c r="G22" s="88">
        <f t="shared" ref="G22:G24" si="188">M21</f>
        <v>529.94000000000005</v>
      </c>
      <c r="H22" s="117">
        <f t="shared" ref="H22:H25" si="189">G22*$B$39</f>
        <v>433.76648880000005</v>
      </c>
      <c r="I22" s="118">
        <f t="shared" ref="I22:I24" si="190">G22*$B$40</f>
        <v>96.173511199999993</v>
      </c>
      <c r="J22" s="94">
        <f t="shared" ref="J22:J24" si="191">M22-G22</f>
        <v>0</v>
      </c>
      <c r="K22" s="94">
        <f t="shared" ref="K22:K24" si="192">J22*$B$39</f>
        <v>0</v>
      </c>
      <c r="L22" s="94">
        <f t="shared" ref="L22:L24" si="193">J22*$B$40</f>
        <v>0</v>
      </c>
      <c r="M22" s="182">
        <v>529.94000000000005</v>
      </c>
      <c r="N22" s="164">
        <f t="shared" ref="N22:N24" si="194">J22/G22</f>
        <v>0</v>
      </c>
      <c r="O22" s="124">
        <f t="shared" ref="O22:O24" si="195">G22*$Y$2</f>
        <v>-55.643700000000003</v>
      </c>
      <c r="P22" s="126">
        <f t="shared" ref="P22:P24" si="196">$W$2*G22</f>
        <v>12.18862</v>
      </c>
      <c r="Q22" s="188">
        <f t="shared" ref="Q22:Q24" si="197">K22/H22</f>
        <v>0</v>
      </c>
      <c r="R22" s="166">
        <f t="shared" ref="R22:R24" si="198">O22*$B$39</f>
        <v>-45.545481324000001</v>
      </c>
      <c r="S22" s="181">
        <f t="shared" ref="S22:S24" si="199">P22*$B$39</f>
        <v>9.9766292424000014</v>
      </c>
      <c r="T22" s="121">
        <f t="shared" ref="T22:T24" si="200">L22/I22</f>
        <v>0</v>
      </c>
      <c r="U22" s="136">
        <f t="shared" ref="U22:U24" si="201">O22*$B$40</f>
        <v>-10.098218675999998</v>
      </c>
      <c r="V22" s="137">
        <f t="shared" ref="V22:V24" si="202">P22*$B$40</f>
        <v>2.2119907575999997</v>
      </c>
      <c r="W22" s="202"/>
      <c r="X22" s="202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</row>
    <row r="23" spans="1:48">
      <c r="A23" s="186">
        <v>45830</v>
      </c>
      <c r="B23" s="10"/>
      <c r="C23" s="65"/>
      <c r="D23" s="260"/>
      <c r="E23" s="248"/>
      <c r="F23" s="243"/>
      <c r="G23" s="88">
        <f t="shared" si="188"/>
        <v>529.94000000000005</v>
      </c>
      <c r="H23" s="117">
        <f t="shared" si="189"/>
        <v>433.76648880000005</v>
      </c>
      <c r="I23" s="118">
        <f t="shared" si="190"/>
        <v>96.173511199999993</v>
      </c>
      <c r="J23" s="94">
        <f t="shared" si="191"/>
        <v>0</v>
      </c>
      <c r="K23" s="94">
        <f t="shared" si="192"/>
        <v>0</v>
      </c>
      <c r="L23" s="94">
        <f t="shared" si="193"/>
        <v>0</v>
      </c>
      <c r="M23" s="182">
        <v>529.94000000000005</v>
      </c>
      <c r="N23" s="164">
        <f t="shared" si="194"/>
        <v>0</v>
      </c>
      <c r="O23" s="124">
        <f t="shared" si="195"/>
        <v>-55.643700000000003</v>
      </c>
      <c r="P23" s="126">
        <f t="shared" si="196"/>
        <v>12.18862</v>
      </c>
      <c r="Q23" s="188">
        <f t="shared" si="197"/>
        <v>0</v>
      </c>
      <c r="R23" s="166">
        <f t="shared" si="198"/>
        <v>-45.545481324000001</v>
      </c>
      <c r="S23" s="181">
        <f t="shared" si="199"/>
        <v>9.9766292424000014</v>
      </c>
      <c r="T23" s="121">
        <f t="shared" si="200"/>
        <v>0</v>
      </c>
      <c r="U23" s="136">
        <f t="shared" si="201"/>
        <v>-10.098218675999998</v>
      </c>
      <c r="V23" s="137">
        <f t="shared" si="202"/>
        <v>2.2119907575999997</v>
      </c>
      <c r="W23" s="202"/>
      <c r="X23" s="202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</row>
    <row r="24" spans="1:48">
      <c r="A24" s="80">
        <v>45831</v>
      </c>
      <c r="B24" s="12" t="s">
        <v>10</v>
      </c>
      <c r="C24" s="13"/>
      <c r="D24" s="232"/>
      <c r="E24" s="246" t="s">
        <v>256</v>
      </c>
      <c r="F24" s="243" t="s">
        <v>259</v>
      </c>
      <c r="G24" s="88">
        <f t="shared" si="188"/>
        <v>529.94000000000005</v>
      </c>
      <c r="H24" s="117">
        <f t="shared" si="189"/>
        <v>433.76648880000005</v>
      </c>
      <c r="I24" s="118">
        <f t="shared" si="190"/>
        <v>96.173511199999993</v>
      </c>
      <c r="J24" s="94">
        <f t="shared" si="191"/>
        <v>12.67999999999995</v>
      </c>
      <c r="K24" s="94">
        <f t="shared" si="192"/>
        <v>10.378833599999959</v>
      </c>
      <c r="L24" s="94">
        <f t="shared" si="193"/>
        <v>2.3011663999999907</v>
      </c>
      <c r="M24" s="182">
        <v>542.62</v>
      </c>
      <c r="N24" s="164">
        <f t="shared" si="194"/>
        <v>2.3927237045703192E-2</v>
      </c>
      <c r="O24" s="124">
        <f t="shared" si="195"/>
        <v>-55.643700000000003</v>
      </c>
      <c r="P24" s="126">
        <f t="shared" si="196"/>
        <v>12.18862</v>
      </c>
      <c r="Q24" s="188">
        <f t="shared" si="197"/>
        <v>2.3927237045703192E-2</v>
      </c>
      <c r="R24" s="166">
        <f t="shared" si="198"/>
        <v>-45.545481324000001</v>
      </c>
      <c r="S24" s="181">
        <f t="shared" si="199"/>
        <v>9.9766292424000014</v>
      </c>
      <c r="T24" s="121">
        <f t="shared" si="200"/>
        <v>2.3927237045703192E-2</v>
      </c>
      <c r="U24" s="136">
        <f t="shared" si="201"/>
        <v>-10.098218675999998</v>
      </c>
      <c r="V24" s="137">
        <f t="shared" si="202"/>
        <v>2.2119907575999997</v>
      </c>
      <c r="W24" s="202"/>
      <c r="X24" s="202"/>
      <c r="Y24" s="202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</row>
    <row r="25" spans="1:48">
      <c r="A25" s="186">
        <v>45832</v>
      </c>
      <c r="B25" s="10"/>
      <c r="C25" s="65"/>
      <c r="D25" s="232"/>
      <c r="E25" s="248"/>
      <c r="F25" s="243"/>
      <c r="G25" s="88">
        <f t="shared" ref="G25" si="203">M24</f>
        <v>542.62</v>
      </c>
      <c r="H25" s="117">
        <f t="shared" si="189"/>
        <v>444.1453224</v>
      </c>
      <c r="I25" s="118">
        <f t="shared" ref="I25" si="204">G25*$B$40</f>
        <v>98.474677599999993</v>
      </c>
      <c r="J25" s="94">
        <f t="shared" ref="J25" si="205">M25-G25</f>
        <v>0</v>
      </c>
      <c r="K25" s="94">
        <f t="shared" ref="K25" si="206">J25*$B$39</f>
        <v>0</v>
      </c>
      <c r="L25" s="94">
        <f t="shared" ref="L25" si="207">J25*$B$40</f>
        <v>0</v>
      </c>
      <c r="M25" s="182">
        <v>542.62</v>
      </c>
      <c r="N25" s="164">
        <f t="shared" ref="N25" si="208">J25/G25</f>
        <v>0</v>
      </c>
      <c r="O25" s="124">
        <f t="shared" ref="O25" si="209">G25*$Y$2</f>
        <v>-56.975099999999998</v>
      </c>
      <c r="P25" s="126">
        <f t="shared" ref="P25" si="210">$W$2*G25</f>
        <v>12.480259999999999</v>
      </c>
      <c r="Q25" s="188">
        <f t="shared" ref="Q25" si="211">K25/H25</f>
        <v>0</v>
      </c>
      <c r="R25" s="166">
        <f t="shared" ref="R25" si="212">O25*$B$39</f>
        <v>-46.635258852</v>
      </c>
      <c r="S25" s="181">
        <f t="shared" ref="S25" si="213">P25*$B$39</f>
        <v>10.2153424152</v>
      </c>
      <c r="T25" s="121">
        <f t="shared" ref="T25" si="214">L25/I25</f>
        <v>0</v>
      </c>
      <c r="U25" s="136">
        <f t="shared" ref="U25" si="215">O25*$B$40</f>
        <v>-10.339841147999998</v>
      </c>
      <c r="V25" s="137">
        <f t="shared" ref="V25" si="216">P25*$B$40</f>
        <v>2.2649175847999996</v>
      </c>
      <c r="W25" s="202"/>
      <c r="X25" s="202"/>
      <c r="Y25" s="202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1"/>
      <c r="AT25" s="201"/>
      <c r="AU25" s="201"/>
      <c r="AV25" s="201"/>
    </row>
    <row r="26" spans="1:48">
      <c r="A26" s="80">
        <v>45833</v>
      </c>
      <c r="B26" s="12" t="s">
        <v>10</v>
      </c>
      <c r="C26" s="13"/>
      <c r="D26" s="232"/>
      <c r="E26" s="248" t="s">
        <v>260</v>
      </c>
      <c r="F26" s="243" t="s">
        <v>260</v>
      </c>
      <c r="G26" s="88">
        <f t="shared" ref="G26" si="217">M25</f>
        <v>542.62</v>
      </c>
      <c r="H26" s="117">
        <f t="shared" ref="H26" si="218">G26*$B$39</f>
        <v>444.1453224</v>
      </c>
      <c r="I26" s="118">
        <f t="shared" ref="I26" si="219">G26*$B$40</f>
        <v>98.474677599999993</v>
      </c>
      <c r="J26" s="94">
        <f t="shared" ref="J26:J27" si="220">M26-G26</f>
        <v>3.5</v>
      </c>
      <c r="K26" s="94">
        <f t="shared" ref="K26:K27" si="221">J26*$B$39</f>
        <v>2.8648199999999999</v>
      </c>
      <c r="L26" s="94">
        <f t="shared" ref="L26:L27" si="222">J26*$B$40</f>
        <v>0.63517999999999986</v>
      </c>
      <c r="M26" s="185">
        <v>546.12</v>
      </c>
      <c r="N26" s="164">
        <f t="shared" ref="N26:N27" si="223">J26/G26</f>
        <v>6.4501861339427225E-3</v>
      </c>
      <c r="O26" s="124">
        <f t="shared" ref="O26" si="224">G26*$Y$2</f>
        <v>-56.975099999999998</v>
      </c>
      <c r="P26" s="126">
        <f t="shared" ref="P26" si="225">$W$2*G26</f>
        <v>12.480259999999999</v>
      </c>
      <c r="Q26" s="188">
        <f t="shared" ref="Q26:Q27" si="226">K26/H26</f>
        <v>6.4501861339427225E-3</v>
      </c>
      <c r="R26" s="166">
        <f t="shared" ref="R26" si="227">O26*$B$39</f>
        <v>-46.635258852</v>
      </c>
      <c r="S26" s="181">
        <f t="shared" ref="S26" si="228">P26*$B$39</f>
        <v>10.2153424152</v>
      </c>
      <c r="T26" s="121">
        <f t="shared" ref="T26:T27" si="229">L26/I26</f>
        <v>6.4501861339427216E-3</v>
      </c>
      <c r="U26" s="136">
        <f t="shared" ref="U26" si="230">O26*$B$40</f>
        <v>-10.339841147999998</v>
      </c>
      <c r="V26" s="137">
        <f t="shared" ref="V26" si="231">P26*$B$40</f>
        <v>2.2649175847999996</v>
      </c>
      <c r="W26" s="202"/>
      <c r="X26" s="202"/>
      <c r="Y26" s="202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1"/>
      <c r="AT26" s="201"/>
      <c r="AU26" s="201"/>
      <c r="AV26" s="201"/>
    </row>
    <row r="27" spans="1:48">
      <c r="A27" s="194">
        <v>45834</v>
      </c>
      <c r="B27" s="12" t="s">
        <v>10</v>
      </c>
      <c r="C27" s="13"/>
      <c r="D27" s="161"/>
      <c r="E27" s="248" t="s">
        <v>262</v>
      </c>
      <c r="F27" s="243" t="s">
        <v>263</v>
      </c>
      <c r="G27" s="88">
        <f t="shared" ref="G27" si="232">M26</f>
        <v>546.12</v>
      </c>
      <c r="H27" s="117">
        <f t="shared" ref="H27" si="233">G27*$B$39</f>
        <v>447.01014240000001</v>
      </c>
      <c r="I27" s="118">
        <f t="shared" ref="I27" si="234">G27*$B$40</f>
        <v>99.109857599999984</v>
      </c>
      <c r="J27" s="162">
        <f t="shared" si="220"/>
        <v>1.6000000000000227</v>
      </c>
      <c r="K27" s="162">
        <f t="shared" si="221"/>
        <v>1.3096320000000186</v>
      </c>
      <c r="L27" s="162">
        <f t="shared" si="222"/>
        <v>0.29036800000000407</v>
      </c>
      <c r="M27" s="185">
        <v>547.72</v>
      </c>
      <c r="N27" s="164">
        <f t="shared" si="223"/>
        <v>2.9297590273200443E-3</v>
      </c>
      <c r="O27" s="124">
        <f t="shared" ref="O27" si="235">G27*$Y$2</f>
        <v>-57.342599999999997</v>
      </c>
      <c r="P27" s="126">
        <f t="shared" ref="P27" si="236">$W$2*G27</f>
        <v>12.56076</v>
      </c>
      <c r="Q27" s="188">
        <f t="shared" ref="Q27" si="237">K27/H27</f>
        <v>2.9297590273200443E-3</v>
      </c>
      <c r="R27" s="166">
        <f t="shared" ref="R27" si="238">O27*$B$39</f>
        <v>-46.936064952000002</v>
      </c>
      <c r="S27" s="181">
        <f t="shared" ref="S27" si="239">P27*$B$39</f>
        <v>10.2812332752</v>
      </c>
      <c r="T27" s="121">
        <f t="shared" ref="T27" si="240">L27/I27</f>
        <v>2.9297590273200443E-3</v>
      </c>
      <c r="U27" s="136">
        <f t="shared" ref="U27" si="241">O27*$B$40</f>
        <v>-10.406535047999999</v>
      </c>
      <c r="V27" s="137">
        <f t="shared" ref="V27" si="242">P27*$B$40</f>
        <v>2.2795267247999997</v>
      </c>
      <c r="W27" s="202"/>
      <c r="X27" s="202"/>
      <c r="Y27" s="202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</row>
    <row r="28" spans="1:48">
      <c r="A28" s="301">
        <v>45835</v>
      </c>
      <c r="B28" s="12" t="s">
        <v>10</v>
      </c>
      <c r="C28" s="13"/>
      <c r="D28" s="173"/>
      <c r="E28" s="249" t="s">
        <v>256</v>
      </c>
      <c r="F28" s="244" t="s">
        <v>264</v>
      </c>
      <c r="G28" s="88">
        <f t="shared" ref="G28" si="243">M27</f>
        <v>547.72</v>
      </c>
      <c r="H28" s="117">
        <f t="shared" ref="H28" si="244">G28*$B$39</f>
        <v>448.31977440000003</v>
      </c>
      <c r="I28" s="118">
        <f t="shared" ref="I28" si="245">G28*$B$40</f>
        <v>99.400225599999985</v>
      </c>
      <c r="J28" s="162">
        <f t="shared" ref="J28" si="246">M28-G28</f>
        <v>7.7999999999999545</v>
      </c>
      <c r="K28" s="162">
        <f t="shared" ref="K28" si="247">J28*$B$39</f>
        <v>6.3844559999999628</v>
      </c>
      <c r="L28" s="162">
        <f t="shared" ref="L28" si="248">J28*$B$40</f>
        <v>1.4155439999999915</v>
      </c>
      <c r="M28" s="185">
        <v>555.52</v>
      </c>
      <c r="N28" s="164">
        <f t="shared" ref="N28" si="249">J28/G28</f>
        <v>1.4240852990579044E-2</v>
      </c>
      <c r="O28" s="124">
        <f t="shared" ref="O28" si="250">G28*$Y$2</f>
        <v>-57.510600000000004</v>
      </c>
      <c r="P28" s="126">
        <f t="shared" ref="P28" si="251">$W$2*G28</f>
        <v>12.59756</v>
      </c>
      <c r="Q28" s="188">
        <f t="shared" ref="Q28" si="252">K28/H28</f>
        <v>1.4240852990579044E-2</v>
      </c>
      <c r="R28" s="166">
        <f t="shared" ref="R28" si="253">O28*$B$39</f>
        <v>-47.073576312000007</v>
      </c>
      <c r="S28" s="181">
        <f t="shared" ref="S28" si="254">P28*$B$39</f>
        <v>10.311354811199999</v>
      </c>
      <c r="T28" s="121">
        <f t="shared" ref="T28" si="255">L28/I28</f>
        <v>1.4240852990579044E-2</v>
      </c>
      <c r="U28" s="136">
        <f t="shared" ref="U28" si="256">O28*$B$40</f>
        <v>-10.437023688</v>
      </c>
      <c r="V28" s="137">
        <f t="shared" ref="V28" si="257">P28*$B$40</f>
        <v>2.2862051887999995</v>
      </c>
      <c r="W28" s="202"/>
      <c r="X28" s="202"/>
      <c r="Y28" s="202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01"/>
      <c r="AT28" s="201"/>
      <c r="AU28" s="201"/>
      <c r="AV28" s="201"/>
    </row>
    <row r="29" spans="1:48">
      <c r="A29" s="186">
        <v>45836</v>
      </c>
      <c r="B29" s="12"/>
      <c r="C29" s="13"/>
      <c r="D29" s="161"/>
      <c r="E29" s="249"/>
      <c r="F29" s="244"/>
      <c r="G29" s="162"/>
      <c r="H29" s="94"/>
      <c r="I29" s="94"/>
      <c r="J29" s="162"/>
      <c r="K29" s="162"/>
      <c r="L29" s="162"/>
      <c r="M29" s="185"/>
      <c r="N29" s="164"/>
      <c r="O29" s="124"/>
      <c r="P29" s="126"/>
      <c r="Q29" s="188"/>
      <c r="R29" s="166"/>
      <c r="S29" s="189"/>
      <c r="T29" s="121"/>
      <c r="U29" s="136"/>
      <c r="V29" s="137"/>
      <c r="W29" s="202"/>
      <c r="X29" s="202"/>
      <c r="Y29" s="202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</row>
    <row r="30" spans="1:48">
      <c r="A30" s="186">
        <v>45837</v>
      </c>
      <c r="B30" s="12"/>
      <c r="C30" s="13"/>
      <c r="D30" s="161"/>
      <c r="E30" s="249"/>
      <c r="F30" s="244"/>
      <c r="G30" s="162"/>
      <c r="H30" s="94"/>
      <c r="I30" s="94"/>
      <c r="J30" s="162"/>
      <c r="K30" s="162"/>
      <c r="L30" s="162"/>
      <c r="M30" s="185"/>
      <c r="N30" s="164"/>
      <c r="O30" s="124"/>
      <c r="P30" s="126"/>
      <c r="Q30" s="188"/>
      <c r="R30" s="166"/>
      <c r="S30" s="189"/>
      <c r="T30" s="121"/>
      <c r="U30" s="136"/>
      <c r="V30" s="137"/>
      <c r="W30" s="202"/>
      <c r="X30" s="202"/>
      <c r="Y30" s="202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</row>
    <row r="31" spans="1:48">
      <c r="A31" s="186">
        <v>45838</v>
      </c>
      <c r="B31" s="12"/>
      <c r="C31" s="13"/>
      <c r="D31" s="161"/>
      <c r="E31" s="249"/>
      <c r="F31" s="244"/>
      <c r="G31" s="162"/>
      <c r="H31" s="94"/>
      <c r="I31" s="94"/>
      <c r="J31" s="162"/>
      <c r="K31" s="162"/>
      <c r="L31" s="162"/>
      <c r="M31" s="185"/>
      <c r="N31" s="164"/>
      <c r="O31" s="124"/>
      <c r="P31" s="126"/>
      <c r="Q31" s="188"/>
      <c r="R31" s="166"/>
      <c r="S31" s="189"/>
      <c r="T31" s="121"/>
      <c r="U31" s="136"/>
      <c r="V31" s="137"/>
      <c r="W31" s="202"/>
      <c r="X31" s="202"/>
      <c r="Y31" s="202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201"/>
      <c r="AT31" s="201"/>
      <c r="AU31" s="201"/>
      <c r="AV31" s="201"/>
    </row>
    <row r="32" spans="1:48" ht="16" thickBot="1">
      <c r="A32" s="186" t="s">
        <v>49</v>
      </c>
      <c r="B32" s="153">
        <f>COUNTA(B2:B31)</f>
        <v>12</v>
      </c>
      <c r="C32" s="154">
        <f>COUNTA(C2:C31)</f>
        <v>3</v>
      </c>
      <c r="D32" s="212"/>
      <c r="E32" s="212"/>
      <c r="F32" s="212"/>
      <c r="G32" s="207"/>
      <c r="H32" s="207"/>
      <c r="I32" s="155" t="s">
        <v>44</v>
      </c>
      <c r="J32" s="156">
        <f>SUM(J2:J31)</f>
        <v>46.779999999999973</v>
      </c>
      <c r="K32" s="156">
        <f>SUM(K2:K31)</f>
        <v>38.29036559999998</v>
      </c>
      <c r="L32" s="156">
        <f>SUM(L2:L31)</f>
        <v>8.4896343999999946</v>
      </c>
      <c r="M32" s="157" t="s">
        <v>19</v>
      </c>
      <c r="N32" s="158">
        <f>SUM(N2:N31)/SUM(B32,C32)</f>
        <v>6.1962326423057627E-3</v>
      </c>
      <c r="O32" s="205"/>
      <c r="P32" s="205"/>
      <c r="Q32" s="206"/>
      <c r="R32" s="207"/>
      <c r="S32" s="207"/>
      <c r="T32" s="207"/>
      <c r="U32" s="207"/>
      <c r="V32" s="207"/>
      <c r="W32" s="208"/>
      <c r="X32" s="208"/>
      <c r="Y32" s="208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</row>
    <row r="33" spans="1:48">
      <c r="A33" s="211"/>
      <c r="B33" s="211"/>
      <c r="C33" s="211"/>
      <c r="D33" s="211"/>
      <c r="E33" s="211"/>
      <c r="F33" s="211"/>
      <c r="G33" s="208"/>
      <c r="H33" s="208"/>
      <c r="I33" s="208"/>
      <c r="J33" s="208"/>
      <c r="K33" s="208"/>
      <c r="L33" s="208"/>
      <c r="M33" s="41" t="s">
        <v>30</v>
      </c>
      <c r="N33" s="128">
        <f>SUM(N2:N31)</f>
        <v>9.2943489634586443E-2</v>
      </c>
      <c r="O33" s="205"/>
      <c r="P33" s="205"/>
      <c r="Q33" s="209"/>
      <c r="R33" s="208"/>
      <c r="S33" s="208"/>
      <c r="T33" s="208"/>
      <c r="U33" s="208"/>
      <c r="V33" s="208"/>
      <c r="W33" s="208"/>
      <c r="X33" s="208"/>
      <c r="Y33" s="208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201"/>
      <c r="AS33" s="201"/>
      <c r="AT33" s="201"/>
      <c r="AU33" s="201"/>
      <c r="AV33" s="201"/>
    </row>
    <row r="34" spans="1:48">
      <c r="A34" s="190"/>
      <c r="B34" s="233" t="s">
        <v>261</v>
      </c>
      <c r="C34" s="234"/>
      <c r="D34" s="234"/>
      <c r="E34" s="234"/>
      <c r="F34" s="234"/>
      <c r="G34" s="208"/>
      <c r="H34" s="208"/>
      <c r="I34" s="208"/>
      <c r="J34" s="208"/>
      <c r="K34" s="208"/>
      <c r="L34" s="208"/>
      <c r="M34" s="201"/>
      <c r="N34" s="201"/>
      <c r="O34" s="201"/>
      <c r="P34" s="201"/>
      <c r="Q34" s="210"/>
      <c r="R34" s="208"/>
      <c r="S34" s="208"/>
      <c r="T34" s="208"/>
      <c r="U34" s="208"/>
      <c r="V34" s="208"/>
      <c r="W34" s="208"/>
      <c r="X34" s="208"/>
      <c r="Y34" s="208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1"/>
      <c r="AT34" s="201"/>
      <c r="AU34" s="201"/>
      <c r="AV34" s="201"/>
    </row>
    <row r="35" spans="1:48">
      <c r="A35" s="216"/>
      <c r="B35" s="233" t="s">
        <v>265</v>
      </c>
      <c r="C35" s="234"/>
      <c r="D35" s="234"/>
      <c r="E35" s="234"/>
      <c r="F35" s="234"/>
      <c r="G35" s="208"/>
      <c r="H35" s="208"/>
      <c r="I35" s="208"/>
      <c r="J35" s="208"/>
      <c r="K35" s="208"/>
      <c r="L35" s="208"/>
      <c r="M35" s="201"/>
      <c r="N35" s="201"/>
      <c r="O35" s="201"/>
      <c r="P35" s="201"/>
      <c r="Q35" s="210"/>
      <c r="R35" s="208"/>
      <c r="S35" s="208"/>
      <c r="T35" s="208"/>
      <c r="U35" s="208"/>
      <c r="V35" s="208"/>
      <c r="W35" s="208"/>
      <c r="X35" s="208"/>
      <c r="Y35" s="208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</row>
    <row r="36" spans="1:48">
      <c r="A36" s="217"/>
      <c r="B36" s="235" t="s">
        <v>56</v>
      </c>
      <c r="C36" s="236"/>
      <c r="D36" s="236"/>
      <c r="E36" s="236"/>
      <c r="F36" s="236"/>
      <c r="G36" s="213"/>
      <c r="H36" s="208"/>
      <c r="I36" s="208"/>
      <c r="J36" s="208"/>
      <c r="K36" s="208"/>
      <c r="L36" s="208"/>
      <c r="M36" s="201"/>
      <c r="N36" s="201"/>
      <c r="O36" s="201"/>
      <c r="P36" s="201"/>
      <c r="Q36" s="210"/>
      <c r="R36" s="208"/>
      <c r="S36" s="208"/>
      <c r="T36" s="208"/>
      <c r="U36" s="208"/>
      <c r="V36" s="208"/>
      <c r="W36" s="208"/>
      <c r="X36" s="208"/>
      <c r="Y36" s="208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1"/>
      <c r="AT36" s="201"/>
      <c r="AU36" s="201"/>
      <c r="AV36" s="201"/>
    </row>
    <row r="37" spans="1:48">
      <c r="A37" s="201"/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1"/>
      <c r="AS37" s="201"/>
      <c r="AT37" s="201"/>
      <c r="AU37" s="201"/>
      <c r="AV37" s="201"/>
    </row>
    <row r="38" spans="1:48" ht="19">
      <c r="A38" s="349" t="s">
        <v>105</v>
      </c>
      <c r="B38" s="350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</row>
    <row r="39" spans="1:48" ht="16">
      <c r="A39" s="218" t="s">
        <v>42</v>
      </c>
      <c r="B39" s="218">
        <v>0.81852000000000003</v>
      </c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</row>
    <row r="40" spans="1:48" ht="16">
      <c r="A40" s="218" t="s">
        <v>43</v>
      </c>
      <c r="B40" s="218">
        <f>1-B39</f>
        <v>0.18147999999999997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</row>
    <row r="41" spans="1:48" ht="16" thickBot="1">
      <c r="A41" s="201"/>
      <c r="B41" s="214"/>
      <c r="C41" s="214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</row>
    <row r="42" spans="1:48">
      <c r="A42" s="215" t="s">
        <v>51</v>
      </c>
      <c r="B42" s="361" t="s">
        <v>52</v>
      </c>
      <c r="C42" s="362"/>
      <c r="D42" s="362"/>
      <c r="E42" s="362"/>
      <c r="F42" s="362"/>
      <c r="G42" s="362"/>
      <c r="H42" s="362"/>
      <c r="I42" s="362"/>
      <c r="J42" s="363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</row>
    <row r="43" spans="1:48" ht="35" customHeight="1">
      <c r="A43" s="220">
        <v>45811</v>
      </c>
      <c r="B43" s="358" t="s">
        <v>243</v>
      </c>
      <c r="C43" s="359"/>
      <c r="D43" s="359"/>
      <c r="E43" s="359"/>
      <c r="F43" s="359"/>
      <c r="G43" s="359"/>
      <c r="H43" s="359"/>
      <c r="I43" s="359"/>
      <c r="J43" s="360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</row>
    <row r="44" spans="1:48" ht="91" customHeight="1">
      <c r="A44" s="220">
        <v>45812</v>
      </c>
      <c r="B44" s="358" t="s">
        <v>244</v>
      </c>
      <c r="C44" s="359"/>
      <c r="D44" s="359"/>
      <c r="E44" s="359"/>
      <c r="F44" s="359"/>
      <c r="G44" s="359"/>
      <c r="H44" s="359"/>
      <c r="I44" s="359"/>
      <c r="J44" s="360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</row>
    <row r="45" spans="1:48" ht="32" customHeight="1">
      <c r="A45" s="220">
        <v>45817</v>
      </c>
      <c r="B45" s="358" t="s">
        <v>245</v>
      </c>
      <c r="C45" s="359"/>
      <c r="D45" s="359"/>
      <c r="E45" s="359"/>
      <c r="F45" s="359"/>
      <c r="G45" s="359"/>
      <c r="H45" s="359"/>
      <c r="I45" s="359"/>
      <c r="J45" s="360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</row>
    <row r="46" spans="1:48" ht="53" customHeight="1">
      <c r="A46" s="220">
        <v>45820</v>
      </c>
      <c r="B46" s="358" t="s">
        <v>249</v>
      </c>
      <c r="C46" s="359"/>
      <c r="D46" s="359"/>
      <c r="E46" s="359"/>
      <c r="F46" s="359"/>
      <c r="G46" s="359"/>
      <c r="H46" s="359"/>
      <c r="I46" s="359"/>
      <c r="J46" s="360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</row>
    <row r="47" spans="1:48" ht="16" customHeight="1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1"/>
      <c r="AT47" s="201"/>
      <c r="AU47" s="201"/>
      <c r="AV47" s="201"/>
    </row>
    <row r="48" spans="1:48" ht="15" customHeight="1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</row>
    <row r="49" spans="1:48" ht="15" customHeight="1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</row>
    <row r="50" spans="1:48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</row>
    <row r="51" spans="1:48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201"/>
      <c r="AT51" s="201"/>
      <c r="AU51" s="201"/>
      <c r="AV51" s="201"/>
    </row>
    <row r="52" spans="1:48">
      <c r="A52" s="201"/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201"/>
      <c r="AT52" s="201"/>
      <c r="AU52" s="201"/>
      <c r="AV52" s="201"/>
    </row>
    <row r="53" spans="1:48">
      <c r="A53" s="201"/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  <c r="AK53" s="201"/>
      <c r="AL53" s="201"/>
      <c r="AM53" s="201"/>
      <c r="AN53" s="201"/>
      <c r="AO53" s="201"/>
      <c r="AP53" s="201"/>
      <c r="AQ53" s="201"/>
      <c r="AR53" s="201"/>
      <c r="AS53" s="201"/>
      <c r="AT53" s="201"/>
      <c r="AU53" s="201"/>
      <c r="AV53" s="201"/>
    </row>
    <row r="54" spans="1:48">
      <c r="A54" s="201"/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201"/>
      <c r="AT54" s="201"/>
      <c r="AU54" s="201"/>
      <c r="AV54" s="201"/>
    </row>
    <row r="55" spans="1:48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201"/>
      <c r="AT55" s="201"/>
      <c r="AU55" s="201"/>
      <c r="AV55" s="201"/>
    </row>
    <row r="56" spans="1:48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201"/>
      <c r="AT56" s="201"/>
      <c r="AU56" s="201"/>
      <c r="AV56" s="201"/>
    </row>
    <row r="57" spans="1:48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1"/>
      <c r="AT57" s="201"/>
      <c r="AU57" s="201"/>
      <c r="AV57" s="201"/>
    </row>
    <row r="58" spans="1:48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201"/>
      <c r="AT58" s="201"/>
      <c r="AU58" s="201"/>
      <c r="AV58" s="201"/>
    </row>
    <row r="59" spans="1:48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201"/>
      <c r="AT59" s="201"/>
      <c r="AU59" s="201"/>
      <c r="AV59" s="201"/>
    </row>
    <row r="60" spans="1:48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1"/>
      <c r="AT60" s="201"/>
      <c r="AU60" s="201"/>
      <c r="AV60" s="201"/>
    </row>
    <row r="61" spans="1:48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1"/>
      <c r="AT61" s="201"/>
      <c r="AU61" s="201"/>
      <c r="AV61" s="201"/>
    </row>
    <row r="62" spans="1:48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1"/>
      <c r="AT62" s="201"/>
      <c r="AU62" s="201"/>
      <c r="AV62" s="201"/>
    </row>
    <row r="63" spans="1:48">
      <c r="A63" s="201"/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1"/>
      <c r="AT63" s="201"/>
      <c r="AU63" s="201"/>
      <c r="AV63" s="201"/>
    </row>
    <row r="64" spans="1:48">
      <c r="A64" s="201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1"/>
      <c r="AT64" s="201"/>
      <c r="AU64" s="201"/>
      <c r="AV64" s="201"/>
    </row>
    <row r="65" spans="1:48">
      <c r="A65" s="201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1"/>
      <c r="AT65" s="201"/>
      <c r="AU65" s="201"/>
      <c r="AV65" s="201"/>
    </row>
    <row r="66" spans="1:48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1"/>
      <c r="AT66" s="201"/>
      <c r="AU66" s="201"/>
      <c r="AV66" s="201"/>
    </row>
    <row r="67" spans="1:48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1"/>
      <c r="AT67" s="201"/>
      <c r="AU67" s="201"/>
      <c r="AV67" s="201"/>
    </row>
    <row r="68" spans="1:48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1"/>
      <c r="AT68" s="201"/>
      <c r="AU68" s="201"/>
      <c r="AV68" s="201"/>
    </row>
    <row r="69" spans="1:48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201"/>
      <c r="AT69" s="201"/>
      <c r="AU69" s="201"/>
      <c r="AV69" s="201"/>
    </row>
    <row r="70" spans="1:48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1"/>
      <c r="AE70" s="201"/>
      <c r="AF70" s="201"/>
      <c r="AG70" s="20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  <c r="AS70" s="201"/>
      <c r="AT70" s="201"/>
      <c r="AU70" s="201"/>
      <c r="AV70" s="201"/>
    </row>
    <row r="71" spans="1:48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  <c r="AB71" s="201"/>
      <c r="AC71" s="201"/>
      <c r="AD71" s="201"/>
      <c r="AE71" s="201"/>
      <c r="AF71" s="201"/>
      <c r="AG71" s="20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  <c r="AS71" s="201"/>
      <c r="AT71" s="201"/>
      <c r="AU71" s="201"/>
      <c r="AV71" s="201"/>
    </row>
    <row r="72" spans="1:48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  <c r="AC72" s="201"/>
      <c r="AD72" s="201"/>
      <c r="AE72" s="201"/>
      <c r="AF72" s="201"/>
      <c r="AG72" s="201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  <c r="AS72" s="201"/>
      <c r="AT72" s="201"/>
      <c r="AU72" s="201"/>
      <c r="AV72" s="201"/>
    </row>
    <row r="73" spans="1:48">
      <c r="A73" s="201"/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  <c r="AC73" s="201"/>
      <c r="AD73" s="201"/>
      <c r="AE73" s="201"/>
      <c r="AF73" s="201"/>
      <c r="AG73" s="201"/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  <c r="AS73" s="201"/>
      <c r="AT73" s="201"/>
      <c r="AU73" s="201"/>
      <c r="AV73" s="201"/>
    </row>
    <row r="74" spans="1:48">
      <c r="A74" s="201"/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</row>
    <row r="75" spans="1:48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</row>
    <row r="76" spans="1:48">
      <c r="A76" s="201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</row>
  </sheetData>
  <mergeCells count="18">
    <mergeCell ref="AD1:AT3"/>
    <mergeCell ref="W2:X2"/>
    <mergeCell ref="W3:Y3"/>
    <mergeCell ref="A38:B38"/>
    <mergeCell ref="B42:J42"/>
    <mergeCell ref="W9:Y9"/>
    <mergeCell ref="W10:Y11"/>
    <mergeCell ref="W12:Y13"/>
    <mergeCell ref="W14:Y15"/>
    <mergeCell ref="W16:Y17"/>
    <mergeCell ref="W18:Y19"/>
    <mergeCell ref="B46:J46"/>
    <mergeCell ref="B45:J45"/>
    <mergeCell ref="B44:J44"/>
    <mergeCell ref="AA8:AB8"/>
    <mergeCell ref="W1:X1"/>
    <mergeCell ref="AA1:AB2"/>
    <mergeCell ref="B43:J43"/>
  </mergeCells>
  <conditionalFormatting sqref="N2:N31">
    <cfRule type="cellIs" dxfId="9" priority="5" stopIfTrue="1" operator="equal">
      <formula>0</formula>
    </cfRule>
    <cfRule type="cellIs" dxfId="8" priority="6" operator="lessThan">
      <formula>0</formula>
    </cfRule>
  </conditionalFormatting>
  <conditionalFormatting sqref="Q2:Q10">
    <cfRule type="colorScale" priority="7">
      <colorScale>
        <cfvo type="formula" val="0"/>
        <cfvo type="formula" val="0"/>
        <color rgb="FFFF0000"/>
        <color rgb="FF00B050"/>
      </colorScale>
    </cfRule>
  </conditionalFormatting>
  <conditionalFormatting sqref="Q2:Q31">
    <cfRule type="cellIs" dxfId="7" priority="4" operator="equal">
      <formula>0</formula>
    </cfRule>
  </conditionalFormatting>
  <conditionalFormatting sqref="Q11:Q31">
    <cfRule type="colorScale" priority="14">
      <colorScale>
        <cfvo type="formula" val="0"/>
        <cfvo type="formula" val="0"/>
        <color rgb="FFFF0000"/>
        <color rgb="FF00B050"/>
      </colorScale>
    </cfRule>
  </conditionalFormatting>
  <conditionalFormatting sqref="T2:T31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16EE-2FBC-A34C-8D52-A97C0B20D2D1}">
  <dimension ref="A1:BE127"/>
  <sheetViews>
    <sheetView showGridLines="0" topLeftCell="A65" zoomScale="79" zoomScaleNormal="79" workbookViewId="0">
      <selection activeCell="F80" sqref="F80"/>
    </sheetView>
  </sheetViews>
  <sheetFormatPr baseColWidth="10" defaultColWidth="10.83203125" defaultRowHeight="15"/>
  <cols>
    <col min="1" max="1" width="10.83203125" bestFit="1" customWidth="1"/>
    <col min="2" max="2" width="29.33203125" bestFit="1" customWidth="1"/>
    <col min="3" max="3" width="13.33203125" bestFit="1" customWidth="1"/>
    <col min="4" max="4" width="13.1640625" bestFit="1" customWidth="1"/>
    <col min="5" max="5" width="20.83203125" bestFit="1" customWidth="1"/>
    <col min="6" max="6" width="17.1640625" bestFit="1" customWidth="1"/>
    <col min="7" max="7" width="34" bestFit="1" customWidth="1"/>
    <col min="8" max="8" width="23.83203125" style="222" bestFit="1" customWidth="1"/>
    <col min="9" max="9" width="27" bestFit="1" customWidth="1"/>
    <col min="10" max="10" width="35.33203125" bestFit="1" customWidth="1"/>
    <col min="11" max="11" width="33.6640625" customWidth="1"/>
    <col min="12" max="12" width="50.6640625" bestFit="1" customWidth="1"/>
    <col min="13" max="13" width="38.33203125" bestFit="1" customWidth="1"/>
    <col min="14" max="14" width="46.6640625" bestFit="1" customWidth="1"/>
    <col min="15" max="15" width="43.83203125" bestFit="1" customWidth="1"/>
    <col min="16" max="16" width="49.33203125" bestFit="1" customWidth="1"/>
    <col min="17" max="17" width="60.33203125" bestFit="1" customWidth="1"/>
    <col min="18" max="18" width="39.33203125" bestFit="1" customWidth="1"/>
    <col min="19" max="19" width="39.33203125" customWidth="1"/>
    <col min="20" max="20" width="210.1640625" customWidth="1"/>
    <col min="21" max="21" width="8.33203125" bestFit="1" customWidth="1"/>
    <col min="22" max="22" width="7.6640625" bestFit="1" customWidth="1"/>
    <col min="23" max="23" width="8" bestFit="1" customWidth="1"/>
    <col min="24" max="24" width="13" bestFit="1" customWidth="1"/>
    <col min="25" max="25" width="15.33203125" bestFit="1" customWidth="1"/>
    <col min="26" max="26" width="19.5" bestFit="1" customWidth="1"/>
    <col min="27" max="27" width="54" bestFit="1" customWidth="1"/>
    <col min="28" max="28" width="13" bestFit="1" customWidth="1"/>
    <col min="29" max="29" width="14" bestFit="1" customWidth="1"/>
    <col min="30" max="30" width="12.6640625" bestFit="1" customWidth="1"/>
    <col min="31" max="31" width="12" bestFit="1" customWidth="1"/>
    <col min="32" max="32" width="12.83203125" customWidth="1"/>
    <col min="33" max="33" width="21.5" bestFit="1" customWidth="1"/>
    <col min="34" max="34" width="34.6640625" bestFit="1" customWidth="1"/>
    <col min="35" max="35" width="7.83203125" customWidth="1"/>
    <col min="36" max="36" width="7.33203125" customWidth="1"/>
    <col min="37" max="37" width="7.6640625" customWidth="1"/>
    <col min="38" max="38" width="16.83203125" bestFit="1" customWidth="1"/>
    <col min="39" max="39" width="25.83203125" bestFit="1" customWidth="1"/>
    <col min="40" max="40" width="9.5" bestFit="1" customWidth="1"/>
    <col min="41" max="41" width="9" bestFit="1" customWidth="1"/>
    <col min="42" max="42" width="18.33203125" bestFit="1" customWidth="1"/>
    <col min="43" max="43" width="29.1640625" bestFit="1" customWidth="1"/>
    <col min="44" max="44" width="21" bestFit="1" customWidth="1"/>
    <col min="45" max="45" width="11.6640625" bestFit="1" customWidth="1"/>
    <col min="46" max="46" width="13.33203125" bestFit="1" customWidth="1"/>
    <col min="47" max="47" width="13.1640625" bestFit="1" customWidth="1"/>
    <col min="48" max="48" width="18.5" bestFit="1" customWidth="1"/>
    <col min="49" max="49" width="24.5" bestFit="1" customWidth="1"/>
    <col min="50" max="50" width="36.5" customWidth="1"/>
    <col min="51" max="52" width="11" customWidth="1"/>
    <col min="53" max="53" width="18" customWidth="1"/>
    <col min="54" max="54" width="19.1640625" customWidth="1"/>
    <col min="55" max="55" width="20.33203125" bestFit="1" customWidth="1"/>
    <col min="56" max="56" width="29.1640625" bestFit="1" customWidth="1"/>
    <col min="57" max="57" width="19.33203125" customWidth="1"/>
  </cols>
  <sheetData>
    <row r="1" spans="1:57" ht="21" customHeight="1">
      <c r="A1" s="381" t="s">
        <v>58</v>
      </c>
      <c r="B1" s="381"/>
      <c r="C1" s="381"/>
      <c r="D1" s="381"/>
      <c r="E1" s="381"/>
      <c r="F1" s="381"/>
      <c r="G1" s="261"/>
      <c r="H1" s="195" t="s">
        <v>88</v>
      </c>
      <c r="I1" s="195" t="s">
        <v>90</v>
      </c>
      <c r="J1" s="195" t="s">
        <v>157</v>
      </c>
      <c r="K1" s="195" t="s">
        <v>89</v>
      </c>
      <c r="L1" s="385"/>
      <c r="M1" s="385"/>
      <c r="N1" s="385"/>
      <c r="O1" s="385"/>
      <c r="P1" s="385"/>
      <c r="Q1" s="385"/>
      <c r="R1" s="386"/>
      <c r="S1" s="269"/>
      <c r="T1" s="383"/>
      <c r="U1" s="377" t="s">
        <v>92</v>
      </c>
      <c r="V1" s="378"/>
      <c r="W1" s="378"/>
      <c r="X1" s="378"/>
      <c r="Y1" s="378"/>
      <c r="Z1" s="378"/>
      <c r="AA1" s="378"/>
      <c r="AB1" s="378"/>
      <c r="AC1" s="378"/>
      <c r="AD1" s="378"/>
      <c r="AE1" s="378"/>
      <c r="AF1" s="378"/>
      <c r="AG1" s="378"/>
      <c r="AH1" s="378"/>
      <c r="AI1" s="378"/>
      <c r="AJ1" s="378"/>
      <c r="AK1" s="378"/>
      <c r="AL1" s="378"/>
      <c r="AM1" s="378"/>
      <c r="AN1" s="378"/>
      <c r="AO1" s="378"/>
      <c r="AP1" s="378"/>
      <c r="AQ1" s="378"/>
      <c r="AR1" s="378"/>
      <c r="AS1" s="378"/>
      <c r="AT1" s="378"/>
      <c r="AU1" s="378"/>
      <c r="AV1" s="378"/>
      <c r="AW1" s="378"/>
      <c r="AX1" s="378"/>
      <c r="AY1" s="378"/>
      <c r="AZ1" s="378"/>
      <c r="BA1" s="378"/>
      <c r="BB1" s="378"/>
      <c r="BC1" s="378"/>
      <c r="BD1" s="378"/>
      <c r="BE1" s="378"/>
    </row>
    <row r="2" spans="1:57" ht="21" customHeight="1">
      <c r="A2" s="381"/>
      <c r="B2" s="381"/>
      <c r="C2" s="381"/>
      <c r="D2" s="381"/>
      <c r="E2" s="381"/>
      <c r="F2" s="381"/>
      <c r="G2" s="261"/>
      <c r="H2" s="196">
        <f>COUNTIF(Table4[Resultado (Win/Loss)],"Win")</f>
        <v>44</v>
      </c>
      <c r="I2" s="196">
        <f>COUNTIF(Table4[Resultado (Win/Loss)],"Loss")</f>
        <v>29</v>
      </c>
      <c r="J2" s="257">
        <f>SUM(H2:I2)</f>
        <v>73</v>
      </c>
      <c r="K2" s="197">
        <f>H2/(H2+I2)</f>
        <v>0.60273972602739723</v>
      </c>
      <c r="L2" s="385"/>
      <c r="M2" s="385"/>
      <c r="N2" s="385"/>
      <c r="O2" s="385"/>
      <c r="P2" s="385"/>
      <c r="Q2" s="385"/>
      <c r="R2" s="386"/>
      <c r="S2" s="269"/>
      <c r="T2" s="384"/>
      <c r="U2" s="377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  <c r="AI2" s="378"/>
      <c r="AJ2" s="378"/>
      <c r="AK2" s="378"/>
      <c r="AL2" s="378"/>
      <c r="AM2" s="378"/>
      <c r="AN2" s="378"/>
      <c r="AO2" s="378"/>
      <c r="AP2" s="378"/>
      <c r="AQ2" s="378"/>
      <c r="AR2" s="378"/>
      <c r="AS2" s="378"/>
      <c r="AT2" s="378"/>
      <c r="AU2" s="378"/>
      <c r="AV2" s="378"/>
      <c r="AW2" s="378"/>
      <c r="AX2" s="378"/>
      <c r="AY2" s="378"/>
      <c r="AZ2" s="378"/>
      <c r="BA2" s="378"/>
      <c r="BB2" s="378"/>
      <c r="BC2" s="378"/>
      <c r="BD2" s="378"/>
      <c r="BE2" s="378"/>
    </row>
    <row r="3" spans="1:57" ht="35" customHeight="1">
      <c r="A3" s="138" t="s">
        <v>59</v>
      </c>
      <c r="B3" s="138" t="s">
        <v>188</v>
      </c>
      <c r="C3" s="138" t="s">
        <v>60</v>
      </c>
      <c r="D3" s="138" t="s">
        <v>61</v>
      </c>
      <c r="E3" s="138" t="s">
        <v>62</v>
      </c>
      <c r="F3" s="138" t="s">
        <v>63</v>
      </c>
      <c r="G3" s="138" t="s">
        <v>168</v>
      </c>
      <c r="H3" s="138" t="s">
        <v>64</v>
      </c>
      <c r="I3" s="138" t="s">
        <v>65</v>
      </c>
      <c r="J3" s="138" t="s">
        <v>66</v>
      </c>
      <c r="K3" s="138" t="s">
        <v>67</v>
      </c>
      <c r="L3" s="138" t="s">
        <v>68</v>
      </c>
      <c r="M3" s="138" t="s">
        <v>69</v>
      </c>
      <c r="N3" s="138" t="s">
        <v>70</v>
      </c>
      <c r="O3" s="138" t="s">
        <v>71</v>
      </c>
      <c r="P3" s="138" t="s">
        <v>72</v>
      </c>
      <c r="Q3" s="138" t="s">
        <v>192</v>
      </c>
      <c r="R3" s="138" t="s">
        <v>73</v>
      </c>
      <c r="S3" s="138" t="s">
        <v>193</v>
      </c>
      <c r="T3" s="200" t="s">
        <v>52</v>
      </c>
      <c r="V3" s="382" t="s">
        <v>91</v>
      </c>
      <c r="W3" s="382"/>
      <c r="X3" s="382"/>
      <c r="Y3" s="382" t="s">
        <v>97</v>
      </c>
      <c r="Z3" s="382"/>
      <c r="AA3" s="380" t="s">
        <v>98</v>
      </c>
      <c r="AB3" s="380"/>
      <c r="AC3" s="380" t="s">
        <v>103</v>
      </c>
      <c r="AD3" s="380"/>
      <c r="AE3" s="380"/>
      <c r="AF3" s="380"/>
      <c r="AG3" s="380"/>
      <c r="AH3" s="380" t="s">
        <v>181</v>
      </c>
      <c r="AI3" s="380"/>
      <c r="AJ3" s="380"/>
      <c r="AK3" s="380"/>
      <c r="AL3" s="380"/>
      <c r="AM3" s="376" t="s">
        <v>194</v>
      </c>
      <c r="AN3" s="376"/>
      <c r="AO3" s="376"/>
      <c r="AP3" s="376"/>
      <c r="AQ3" s="376" t="s">
        <v>209</v>
      </c>
      <c r="AR3" s="376"/>
      <c r="AS3" s="376"/>
      <c r="AT3" s="376"/>
      <c r="AU3" s="376"/>
      <c r="AV3" s="376"/>
      <c r="AW3" s="376"/>
      <c r="AX3" s="376" t="s">
        <v>210</v>
      </c>
      <c r="AY3" s="376"/>
      <c r="AZ3" s="376"/>
      <c r="BA3" s="376"/>
      <c r="BB3" s="376" t="s">
        <v>211</v>
      </c>
      <c r="BC3" s="376"/>
      <c r="BD3" s="376"/>
      <c r="BE3" s="376"/>
    </row>
    <row r="4" spans="1:57" ht="32" customHeight="1">
      <c r="A4" s="224">
        <v>45788</v>
      </c>
      <c r="B4" s="224" t="s">
        <v>189</v>
      </c>
      <c r="C4" s="138" t="s">
        <v>74</v>
      </c>
      <c r="D4" s="225">
        <v>0.88472222222222219</v>
      </c>
      <c r="E4" s="226"/>
      <c r="F4" s="226"/>
      <c r="G4" s="225" t="s">
        <v>169</v>
      </c>
      <c r="H4" s="225" t="s">
        <v>75</v>
      </c>
      <c r="I4" s="138" t="s">
        <v>76</v>
      </c>
      <c r="J4" s="138" t="s">
        <v>77</v>
      </c>
      <c r="K4" s="138" t="s">
        <v>77</v>
      </c>
      <c r="L4" s="138" t="s">
        <v>77</v>
      </c>
      <c r="M4" s="138" t="s">
        <v>77</v>
      </c>
      <c r="N4" s="138" t="s">
        <v>77</v>
      </c>
      <c r="O4" s="138" t="s">
        <v>77</v>
      </c>
      <c r="P4" s="138" t="s">
        <v>77</v>
      </c>
      <c r="Q4" s="258"/>
      <c r="R4" s="138" t="s">
        <v>77</v>
      </c>
      <c r="S4" s="138">
        <f>COUNTIF(Table4[[#This Row],[MACD saiu da regiao oposta?]:[BTC com estrutura semelhante?]],"Não")</f>
        <v>0</v>
      </c>
      <c r="T4" s="138"/>
      <c r="V4" s="199" t="s">
        <v>93</v>
      </c>
      <c r="W4" s="199" t="s">
        <v>76</v>
      </c>
      <c r="X4" s="199" t="s">
        <v>82</v>
      </c>
      <c r="Y4" s="199" t="s">
        <v>94</v>
      </c>
      <c r="Z4" s="199" t="s">
        <v>96</v>
      </c>
      <c r="AA4" s="199" t="s">
        <v>99</v>
      </c>
      <c r="AB4" s="199" t="s">
        <v>100</v>
      </c>
      <c r="AC4" s="199" t="s">
        <v>101</v>
      </c>
      <c r="AD4" s="199" t="s">
        <v>102</v>
      </c>
      <c r="AE4" s="199" t="s">
        <v>82</v>
      </c>
      <c r="AF4" s="199" t="s">
        <v>49</v>
      </c>
      <c r="AG4" s="199" t="s">
        <v>89</v>
      </c>
      <c r="AH4" s="263" t="s">
        <v>168</v>
      </c>
      <c r="AI4" s="264" t="s">
        <v>102</v>
      </c>
      <c r="AJ4" s="264" t="s">
        <v>82</v>
      </c>
      <c r="AK4" s="264" t="s">
        <v>49</v>
      </c>
      <c r="AL4" s="265" t="s">
        <v>89</v>
      </c>
      <c r="AM4" s="274" t="s">
        <v>195</v>
      </c>
      <c r="AN4" s="275" t="s">
        <v>102</v>
      </c>
      <c r="AO4" s="275" t="s">
        <v>82</v>
      </c>
      <c r="AP4" s="276" t="s">
        <v>89</v>
      </c>
      <c r="AQ4" s="277" t="s">
        <v>200</v>
      </c>
      <c r="AR4" s="278" t="s">
        <v>201</v>
      </c>
      <c r="AS4" s="278" t="s">
        <v>204</v>
      </c>
      <c r="AT4" s="278" t="s">
        <v>202</v>
      </c>
      <c r="AU4" s="278" t="s">
        <v>203</v>
      </c>
      <c r="AV4" s="279" t="s">
        <v>199</v>
      </c>
      <c r="AW4" s="278" t="s">
        <v>208</v>
      </c>
      <c r="AX4" s="277" t="s">
        <v>200</v>
      </c>
      <c r="AY4" s="278" t="s">
        <v>76</v>
      </c>
      <c r="AZ4" s="278" t="s">
        <v>82</v>
      </c>
      <c r="BA4" s="279" t="s">
        <v>89</v>
      </c>
      <c r="BB4" s="290" t="s">
        <v>200</v>
      </c>
      <c r="BC4" s="281" t="s">
        <v>205</v>
      </c>
      <c r="BD4" s="281" t="s">
        <v>206</v>
      </c>
      <c r="BE4" s="291" t="s">
        <v>207</v>
      </c>
    </row>
    <row r="5" spans="1:57" ht="32" customHeight="1">
      <c r="A5" s="224">
        <v>45788</v>
      </c>
      <c r="B5" s="224" t="s">
        <v>189</v>
      </c>
      <c r="C5" s="138" t="s">
        <v>78</v>
      </c>
      <c r="D5" s="225">
        <v>0.88541666666666663</v>
      </c>
      <c r="E5" s="226"/>
      <c r="F5" s="226"/>
      <c r="G5" s="225" t="s">
        <v>169</v>
      </c>
      <c r="H5" s="225" t="s">
        <v>75</v>
      </c>
      <c r="I5" s="138" t="s">
        <v>76</v>
      </c>
      <c r="J5" s="138" t="s">
        <v>77</v>
      </c>
      <c r="K5" s="138" t="s">
        <v>77</v>
      </c>
      <c r="L5" s="138" t="s">
        <v>77</v>
      </c>
      <c r="M5" s="138" t="s">
        <v>77</v>
      </c>
      <c r="N5" s="138" t="s">
        <v>77</v>
      </c>
      <c r="O5" s="138" t="s">
        <v>77</v>
      </c>
      <c r="P5" s="138" t="s">
        <v>77</v>
      </c>
      <c r="Q5" s="258"/>
      <c r="R5" s="138" t="s">
        <v>77</v>
      </c>
      <c r="S5" s="138">
        <f>COUNTIF(Table4[[#This Row],[MACD saiu da regiao oposta?]:[BTC com estrutura semelhante?]],"Não")</f>
        <v>0</v>
      </c>
      <c r="T5" s="138"/>
      <c r="V5" s="229" t="s">
        <v>85</v>
      </c>
      <c r="W5" s="229">
        <f>COUNTIFS(Table4[Ciclo do dia],"Ciclo 1",Table4[Resultado (Win/Loss)],"Win")</f>
        <v>20</v>
      </c>
      <c r="X5" s="229">
        <f>COUNTIFS(Table4[Ciclo do dia],"Ciclo 1",Table4[Resultado (Win/Loss)],"Loss")</f>
        <v>23</v>
      </c>
      <c r="Y5" s="229" t="s">
        <v>78</v>
      </c>
      <c r="Z5" s="230">
        <f>COUNTIF(Table4[Par],"BTC/USDT")</f>
        <v>29</v>
      </c>
      <c r="AA5" s="285" t="s">
        <v>69</v>
      </c>
      <c r="AB5" s="229">
        <f>COUNTIF(Table4[Gatiho: MACD fez o cruzamento?],"Não")</f>
        <v>10</v>
      </c>
      <c r="AC5" s="229" t="s">
        <v>78</v>
      </c>
      <c r="AD5" s="229">
        <f>COUNTIFS(Table4[Par],"BTC/USDT",Table4[Resultado (Win/Loss)],"Win")</f>
        <v>17</v>
      </c>
      <c r="AE5" s="229">
        <f>COUNTIFS(Table4[Par],"BTC/USDT",Table4[Resultado (Win/Loss)],"Loss")</f>
        <v>12</v>
      </c>
      <c r="AF5" s="229">
        <f>SUM(Table6[[#This Row],[Wins]:[Loss]])</f>
        <v>29</v>
      </c>
      <c r="AG5" s="231">
        <f>AD5/(AD5+AE5)</f>
        <v>0.58620689655172409</v>
      </c>
      <c r="AH5" s="287" t="s">
        <v>182</v>
      </c>
      <c r="AI5" s="267">
        <f>COUNTIFS(Table4[Tipo de Estratégia],"Bearish Clássico",Table4[Resultado (Win/Loss)],"Win")</f>
        <v>25</v>
      </c>
      <c r="AJ5" s="267">
        <f>COUNTIFS(Table4[Tipo de Estratégia],"Bearish Clássico",Table4[Resultado (Win/Loss)],"Loss")</f>
        <v>17</v>
      </c>
      <c r="AK5" s="267">
        <f>SUM(Tabela6[[#This Row],[Wins]:[Loss]])</f>
        <v>42</v>
      </c>
      <c r="AL5" s="266">
        <f>Tabela6[[#This Row],[Wins]]/Tabela6[[#This Row],[Total]]</f>
        <v>0.59523809523809523</v>
      </c>
      <c r="AM5" s="270" t="s">
        <v>213</v>
      </c>
      <c r="AN5" s="271">
        <f>COUNTIFS(Table4[Quantidade de Erros de Critérios],0,Table4[Resultado (Win/Loss)],"Win")</f>
        <v>36</v>
      </c>
      <c r="AO5" s="271">
        <f>COUNTIFS(Table4[Quantidade de Erros de Critérios],0,Table4[Resultado (Win/Loss)],"Loss")</f>
        <v>10</v>
      </c>
      <c r="AP5" s="272">
        <f>Tabela7[[#This Row],[Wins]]/SUM(Tabela7[[#This Row],[Wins]],Tabela7[[#This Row],[Loss]])</f>
        <v>0.78260869565217395</v>
      </c>
      <c r="AQ5" s="280" t="s">
        <v>205</v>
      </c>
      <c r="AR5" s="267">
        <f>COUNTIFS(Table4[Tipo de Mercado], "Mercado forte",Table4[Quantidade de Erros de Critérios], 0)</f>
        <v>37</v>
      </c>
      <c r="AS5" s="267">
        <f>COUNTIFS(Table4[Tipo de Mercado], "Mercado forte",Table4[Quantidade de Erros de Critérios], 1)</f>
        <v>10</v>
      </c>
      <c r="AT5" s="267">
        <f>COUNTIFS(Table4[Tipo de Mercado], "Mercado forte",Table4[Quantidade de Erros de Critérios], 2)</f>
        <v>2</v>
      </c>
      <c r="AU5" s="267">
        <f>COUNTIFS(Table4[Tipo de Mercado], "Mercado forte",Table4[Quantidade de Erros de Critérios], 3)</f>
        <v>0</v>
      </c>
      <c r="AV5" s="267">
        <f>COUNTIFS(Table4[Tipo de Mercado], "Mercado forte",Table4[Quantidade de Erros de Critérios], "&gt;=4")</f>
        <v>2</v>
      </c>
      <c r="AW5" s="281">
        <f>SUM(Tabela10[[#This Row],[Zero (Setup ideal)]:[Quatro ou Mais]])</f>
        <v>51</v>
      </c>
      <c r="AX5" s="283" t="s">
        <v>205</v>
      </c>
      <c r="AY5" s="267">
        <f>COUNTIFS(Table4[Tipo de Mercado], "Mercado forte",Table4[Resultado (Win/Loss)],"Win")</f>
        <v>37</v>
      </c>
      <c r="AZ5" s="267">
        <f>COUNTIFS(Table4[Tipo de Mercado], "Mercado forte",Table4[Resultado (Win/Loss)],"Loss")</f>
        <v>14</v>
      </c>
      <c r="BA5" s="266">
        <f>Tabela11[[#This Row],[Win]]/SUM(Tabela11[[#This Row],[Win]:[Loss]])</f>
        <v>0.72549019607843135</v>
      </c>
      <c r="BB5" s="289" t="s">
        <v>213</v>
      </c>
      <c r="BC5" s="293">
        <f>IF(
  COUNTIFS(Table4[Tipo de Mercado], "Mercado Forte", Table4[Quantidade de Erros de Critérios], 0) &gt;=5,IFERROR(
  COUNTIFS(Table4[Tipo de Mercado], "Mercado Forte", Table4[Quantidade de Erros de Critérios], 0, Table4[Resultado (Win/Loss)], "Win") /
  (COUNTIFS(Table4[Tipo de Mercado], "Mercado Forte", Table4[Quantidade de Erros de Critérios], 0, Table4[Resultado (Win/Loss)], "Win") +
   COUNTIFS(Table4[Tipo de Mercado], "Mercado Forte", Table4[Quantidade de Erros de Critérios], 0, Table4[Resultado (Win/Loss)], "Loss")),
  0
),
  "Amostra pequena"
)</f>
        <v>0.83783783783783783</v>
      </c>
      <c r="BD5" s="293">
        <f>IF(
  COUNTIFS(Table4[Tipo de Mercado], "Mercado de alta volatilidade", Table4[Quantidade de Erros de Critérios], 0) &gt;=5,IFERROR(
  COUNTIFS(Table4[Tipo de Mercado], "Mercado de alta volatilidade", Table4[Quantidade de Erros de Critérios], 0, Table4[Resultado (Win/Loss)], "Win") /
  (COUNTIFS(Table4[Tipo de Mercado], "Mercado de alta volatilidade", Table4[Quantidade de Erros de Critérios], 0, Table4[Resultado (Win/Loss)], "Win") +
   COUNTIFS(Table4[Tipo de Mercado], "Mercado de alta volatilidade", Table4[Quantidade de Erros de Critérios], 0, Table4[Resultado (Win/Loss)], "Loss")),
  0
),
  "Amostra pequena"
)</f>
        <v>0.625</v>
      </c>
      <c r="BE5" s="294" t="str">
        <f>IF(
  COUNTIFS(Table4[Tipo de Mercado], "Mercado confuso", Table4[Quantidade de Erros de Critérios], 0) &gt;=5,IFERROR(
  COUNTIFS(Table4[Tipo de Mercado], "Mercado confuso", Table4[Quantidade de Erros de Critérios], 0, Table4[Resultado (Win/Loss)], "Win") /
  (COUNTIFS(Table4[Tipo de Mercado], "Mercado confuso", Table4[Quantidade de Erros de Critérios], 0, Table4[Resultado (Win/Loss)], "Win") +
   COUNTIFS(Table4[Tipo de Mercado], "Mercado confuso", Table4[Quantidade de Erros de Critérios], 0, Table4[Resultado (Win/Loss)], "Loss")),
  0
),
  "Amostra pequena"
)</f>
        <v>Amostra pequena</v>
      </c>
    </row>
    <row r="6" spans="1:57" ht="32" customHeight="1">
      <c r="A6" s="224">
        <v>45788</v>
      </c>
      <c r="B6" s="224" t="s">
        <v>189</v>
      </c>
      <c r="C6" s="138" t="s">
        <v>79</v>
      </c>
      <c r="D6" s="225">
        <v>0.89444444444444449</v>
      </c>
      <c r="E6" s="226"/>
      <c r="F6" s="226"/>
      <c r="G6" s="225" t="s">
        <v>169</v>
      </c>
      <c r="H6" s="225" t="s">
        <v>75</v>
      </c>
      <c r="I6" s="138" t="s">
        <v>76</v>
      </c>
      <c r="J6" s="138" t="s">
        <v>77</v>
      </c>
      <c r="K6" s="138" t="s">
        <v>77</v>
      </c>
      <c r="L6" s="138" t="s">
        <v>77</v>
      </c>
      <c r="M6" s="138" t="s">
        <v>77</v>
      </c>
      <c r="N6" s="138" t="s">
        <v>77</v>
      </c>
      <c r="O6" s="138" t="s">
        <v>77</v>
      </c>
      <c r="P6" s="138" t="s">
        <v>77</v>
      </c>
      <c r="Q6" s="258"/>
      <c r="R6" s="138" t="s">
        <v>77</v>
      </c>
      <c r="S6" s="138">
        <f>COUNTIF(Table4[[#This Row],[MACD saiu da regiao oposta?]:[BTC com estrutura semelhante?]],"Não")</f>
        <v>0</v>
      </c>
      <c r="T6" s="138"/>
      <c r="V6" s="229" t="s">
        <v>86</v>
      </c>
      <c r="W6" s="229">
        <f>COUNTIFS(Table4[Ciclo do dia],"Ciclo 2",Table4[Resultado (Win/Loss)],"Win")</f>
        <v>13</v>
      </c>
      <c r="X6" s="229">
        <f>COUNTIFS(Table4[Ciclo do dia],"Ciclo 2",Table4[Resultado (Win/Loss)],"Loss")</f>
        <v>4</v>
      </c>
      <c r="Y6" s="229" t="s">
        <v>74</v>
      </c>
      <c r="Z6" s="230">
        <f>COUNTIF(Table4[Par],"ETH/USDT")</f>
        <v>23</v>
      </c>
      <c r="AA6" s="285" t="s">
        <v>71</v>
      </c>
      <c r="AB6" s="229">
        <f>COUNTIF(Table4[Topo/Fundo atual do MACD ≥ anterior?],"Não")</f>
        <v>10</v>
      </c>
      <c r="AC6" s="229" t="s">
        <v>74</v>
      </c>
      <c r="AD6" s="229">
        <f>COUNTIFS(Table4[Par],"ETH/USDT",Table4[Resultado (Win/Loss)],"Win")</f>
        <v>14</v>
      </c>
      <c r="AE6" s="229">
        <f>COUNTIFS(Table4[Par],"ETH/USDT",Table4[Resultado (Win/Loss)],"Loss")</f>
        <v>9</v>
      </c>
      <c r="AF6" s="229">
        <f>SUM(Table6[[#This Row],[Wins]:[Loss]])</f>
        <v>23</v>
      </c>
      <c r="AG6" s="231">
        <f>AD6/(AD6+AE6)</f>
        <v>0.60869565217391308</v>
      </c>
      <c r="AH6" s="287" t="s">
        <v>169</v>
      </c>
      <c r="AI6" s="267">
        <f>COUNTIFS(Table4[Tipo de Estratégia],"Bullish Clássico",Table4[Resultado (Win/Loss)],"Win")</f>
        <v>18</v>
      </c>
      <c r="AJ6" s="267">
        <f>COUNTIFS(Table4[Tipo de Estratégia],"Bullish Clássico",Table4[Resultado (Win/Loss)],"Loss")</f>
        <v>11</v>
      </c>
      <c r="AK6" s="267">
        <f>SUM(Tabela6[[#This Row],[Wins]:[Loss]])</f>
        <v>29</v>
      </c>
      <c r="AL6" s="266">
        <f>Tabela6[[#This Row],[Wins]]/Tabela6[[#This Row],[Total]]</f>
        <v>0.62068965517241381</v>
      </c>
      <c r="AM6" s="270" t="s">
        <v>196</v>
      </c>
      <c r="AN6" s="271">
        <f>COUNTIFS(Table4[Quantidade de Erros de Critérios],1,Table4[Resultado (Win/Loss)],"Win")</f>
        <v>8</v>
      </c>
      <c r="AO6" s="271">
        <f>COUNTIFS(Table4[Quantidade de Erros de Critérios],1,Table4[Resultado (Win/Loss)],"Loss")</f>
        <v>8</v>
      </c>
      <c r="AP6" s="272">
        <f>Tabela7[[#This Row],[Wins]]/SUM(Tabela7[[#This Row],[Wins]],Tabela7[[#This Row],[Loss]])</f>
        <v>0.5</v>
      </c>
      <c r="AQ6" s="280" t="s">
        <v>206</v>
      </c>
      <c r="AR6" s="267">
        <f>COUNTIFS(Table4[Tipo de Mercado], "Mercado de alta volatilidade",Table4[Quantidade de Erros de Critérios], 0)</f>
        <v>8</v>
      </c>
      <c r="AS6" s="267">
        <f>COUNTIFS(Table4[Tipo de Mercado], "Mercado de alta volatilidade",Table4[Quantidade de Erros de Critérios], 1)</f>
        <v>3</v>
      </c>
      <c r="AT6" s="267">
        <f>COUNTIFS(Table4[Tipo de Mercado], "Mercado de alta volatilidade",Table4[Quantidade de Erros de Critérios], 2)</f>
        <v>2</v>
      </c>
      <c r="AU6" s="267">
        <f>COUNTIFS(Table4[Tipo de Mercado], "Mercado de alta volatilidade",Table4[Quantidade de Erros de Critérios], 3)</f>
        <v>1</v>
      </c>
      <c r="AV6" s="267">
        <f>COUNTIFS(Table4[Tipo de Mercado], "Mercado de alta volatilidade",Table4[Quantidade de Erros de Critérios], "&gt;=4")</f>
        <v>3</v>
      </c>
      <c r="AW6" s="281">
        <f>SUM(Tabela10[[#This Row],[Zero (Setup ideal)]:[Quatro ou Mais]])</f>
        <v>17</v>
      </c>
      <c r="AX6" s="280" t="s">
        <v>206</v>
      </c>
      <c r="AY6" s="267">
        <f>COUNTIFS(Table4[Tipo de Mercado], "Mercado de alta volatilidade",Table4[Resultado (Win/Loss)],"Win")</f>
        <v>6</v>
      </c>
      <c r="AZ6" s="267">
        <f>COUNTIFS(Table4[Tipo de Mercado], "Mercado de alta volatilidade",Table4[Resultado (Win/Loss)],"Loss")</f>
        <v>11</v>
      </c>
      <c r="BA6" s="266">
        <f>Tabela11[[#This Row],[Win]]/SUM(Tabela11[[#This Row],[Win]:[Loss]])</f>
        <v>0.35294117647058826</v>
      </c>
      <c r="BB6" s="289" t="s">
        <v>204</v>
      </c>
      <c r="BC6" s="293">
        <f>IF(
  COUNTIFS(Table4[Tipo de Mercado], "Mercado Forte", Table4[Quantidade de Erros de Critérios], 1) &gt;=5,IFERROR(
  COUNTIFS(Table4[Tipo de Mercado], "Mercado Forte", Table4[Quantidade de Erros de Critérios], 1, Table4[Resultado (Win/Loss)], "Win") /
  (COUNTIFS(Table4[Tipo de Mercado], "Mercado Forte", Table4[Quantidade de Erros de Critérios], 1, Table4[Resultado (Win/Loss)], "Win") +
   COUNTIFS(Table4[Tipo de Mercado], "Mercado Forte", Table4[Quantidade de Erros de Critérios], 1, Table4[Resultado (Win/Loss)], "Loss")),
  0
),
  "Amostra pequena"
)</f>
        <v>0.5</v>
      </c>
      <c r="BD6" s="293" t="str">
        <f>IF(
  COUNTIFS(Table4[Tipo de Mercado], "Mercado de alta volatilidade", Table4[Quantidade de Erros de Critérios], 1) &gt;=5,IFERROR(
  COUNTIFS(Table4[Tipo de Mercado], "Mercado de alta volatilidade", Table4[Quantidade de Erros de Critérios], 1, Table4[Resultado (Win/Loss)], "Win") /
  (COUNTIFS(Table4[Tipo de Mercado], "Mercado de alta volatilidade", Table4[Quantidade de Erros de Critérios], 1, Table4[Resultado (Win/Loss)], "Win") +
   COUNTIFS(Table4[Tipo de Mercado], "Mercado de alta volatilidade", Table4[Quantidade de Erros de Critérios], 1, Table4[Resultado (Win/Loss)], "Loss")),
  0
),
  "Amostra pequena"
)</f>
        <v>Amostra pequena</v>
      </c>
      <c r="BE6" s="294" t="str">
        <f>IF(
  COUNTIFS(Table4[Tipo de Mercado], "Mercado confuso", Table4[Quantidade de Erros de Critérios], 1) &gt;=5,IFERROR(
  COUNTIFS(Table4[Tipo de Mercado], "Mercado confuso", Table4[Quantidade de Erros de Critérios], 1, Table4[Resultado (Win/Loss)], "Win") /
  (COUNTIFS(Table4[Tipo de Mercado], "Mercado confuso", Table4[Quantidade de Erros de Critérios], 1, Table4[Resultado (Win/Loss)], "Win") +
   COUNTIFS(Table4[Tipo de Mercado], "Mercado confuso", Table4[Quantidade de Erros de Critérios], 1, Table4[Resultado (Win/Loss)], "Loss")),
  0
),
  "Amostra pequena"
)</f>
        <v>Amostra pequena</v>
      </c>
    </row>
    <row r="7" spans="1:57" ht="32" customHeight="1">
      <c r="A7" s="224">
        <v>45788</v>
      </c>
      <c r="B7" s="224" t="s">
        <v>189</v>
      </c>
      <c r="C7" s="138" t="s">
        <v>79</v>
      </c>
      <c r="D7" s="225">
        <v>0.97083333333333333</v>
      </c>
      <c r="E7" s="226"/>
      <c r="F7" s="226"/>
      <c r="G7" s="225" t="s">
        <v>169</v>
      </c>
      <c r="H7" s="225" t="s">
        <v>75</v>
      </c>
      <c r="I7" s="138" t="s">
        <v>76</v>
      </c>
      <c r="J7" s="138" t="s">
        <v>77</v>
      </c>
      <c r="K7" s="138" t="s">
        <v>77</v>
      </c>
      <c r="L7" s="138" t="s">
        <v>77</v>
      </c>
      <c r="M7" s="138" t="s">
        <v>77</v>
      </c>
      <c r="N7" s="138" t="s">
        <v>77</v>
      </c>
      <c r="O7" s="138" t="s">
        <v>77</v>
      </c>
      <c r="P7" s="138" t="s">
        <v>77</v>
      </c>
      <c r="Q7" s="258"/>
      <c r="R7" s="138" t="s">
        <v>77</v>
      </c>
      <c r="S7" s="138">
        <f>COUNTIF(Table4[[#This Row],[MACD saiu da regiao oposta?]:[BTC com estrutura semelhante?]],"Não")</f>
        <v>0</v>
      </c>
      <c r="T7" s="138"/>
      <c r="V7" s="198"/>
      <c r="W7" s="198"/>
      <c r="X7" s="198"/>
      <c r="Y7" s="229" t="s">
        <v>95</v>
      </c>
      <c r="Z7" s="230">
        <f>COUNTIF(Table4[Par],"MEMX/USDT")</f>
        <v>8</v>
      </c>
      <c r="AA7" s="285" t="s">
        <v>70</v>
      </c>
      <c r="AB7" s="229">
        <f>COUNTIF(Table4[Ângulo dos topos do MACD mostra força?],"Não")</f>
        <v>9</v>
      </c>
      <c r="AC7" s="229" t="s">
        <v>79</v>
      </c>
      <c r="AD7" s="229">
        <f>COUNTIFS(Table4[Par],"SOL/USDT",Table4[Resultado (Win/Loss)],"Win")</f>
        <v>6</v>
      </c>
      <c r="AE7" s="229">
        <f>COUNTIFS(Table4[Par],"SOL/USDT",Table4[Resultado (Win/Loss)],"Loss")</f>
        <v>2</v>
      </c>
      <c r="AF7" s="229">
        <f>SUM(Table6[[#This Row],[Wins]:[Loss]])</f>
        <v>8</v>
      </c>
      <c r="AG7" s="231">
        <f>AD7/(AD7+AE7)</f>
        <v>0.75</v>
      </c>
      <c r="AH7" s="287" t="s">
        <v>171</v>
      </c>
      <c r="AI7" s="267">
        <f>COUNTIFS(Table4[Tipo de Estratégia],"Bearish - Exaustão + Rompimento",Table4[Resultado (Win/Loss)],"Win")</f>
        <v>2</v>
      </c>
      <c r="AJ7" s="267">
        <f>COUNTIFS(Table4[Tipo de Estratégia],"Bearish - Exaustão + Rompimento",Table4[Resultado (Win/Loss)],"Loss")</f>
        <v>1</v>
      </c>
      <c r="AK7" s="267">
        <f>SUM(Tabela6[[#This Row],[Wins]:[Loss]])</f>
        <v>3</v>
      </c>
      <c r="AL7" s="266">
        <f>Tabela6[[#This Row],[Wins]]/Tabela6[[#This Row],[Total]]</f>
        <v>0.66666666666666663</v>
      </c>
      <c r="AM7" s="270" t="s">
        <v>197</v>
      </c>
      <c r="AN7" s="271">
        <f>COUNTIFS(Table4[Quantidade de Erros de Critérios],2,Table4[Resultado (Win/Loss)],"Win")</f>
        <v>0</v>
      </c>
      <c r="AO7" s="271">
        <f>COUNTIFS(Table4[Quantidade de Erros de Critérios],2,Table4[Resultado (Win/Loss)],"Loss")</f>
        <v>6</v>
      </c>
      <c r="AP7" s="272">
        <f>Tabela7[[#This Row],[Wins]]/SUM(Tabela7[[#This Row],[Wins]],Tabela7[[#This Row],[Loss]])</f>
        <v>0</v>
      </c>
      <c r="AQ7" s="282" t="s">
        <v>207</v>
      </c>
      <c r="AR7" s="268">
        <f>COUNTIFS(Table4[Tipo de Mercado], "Mercado confuso",Table4[Quantidade de Erros de Critérios], 0)</f>
        <v>1</v>
      </c>
      <c r="AS7" s="268">
        <f>COUNTIFS(Table4[Tipo de Mercado], "Mercado confuso",Table4[Quantidade de Erros de Critérios], 1)</f>
        <v>3</v>
      </c>
      <c r="AT7" s="268">
        <f>COUNTIFS(Table4[Tipo de Mercado], "Mercado confuso",Table4[Quantidade de Erros de Critérios], 2)</f>
        <v>2</v>
      </c>
      <c r="AU7" s="268">
        <f>COUNTIFS(Table4[Tipo de Mercado], "Mercado confuso",Table4[Quantidade de Erros de Critérios], 3)</f>
        <v>0</v>
      </c>
      <c r="AV7" s="268">
        <f>COUNTIFS(Table4[Tipo de Mercado], "Mercado confuso",Table4[Quantidade de Erros de Critérios], "&gt;=4")</f>
        <v>0</v>
      </c>
      <c r="AW7" s="281">
        <f>SUM(Tabela10[[#This Row],[Zero (Setup ideal)]:[Quatro ou Mais]])</f>
        <v>6</v>
      </c>
      <c r="AX7" s="284" t="s">
        <v>207</v>
      </c>
      <c r="AY7" s="267">
        <f>COUNTIFS(Table4[Tipo de Mercado], "Mercado confuso",Table4[Resultado (Win/Loss)],"Win")</f>
        <v>2</v>
      </c>
      <c r="AZ7" s="267">
        <f>COUNTIFS(Table4[Tipo de Mercado], "Mercado confuso",Table4[Resultado (Win/Loss)],"Loss")</f>
        <v>4</v>
      </c>
      <c r="BA7" s="266">
        <f>Tabela11[[#This Row],[Win]]/SUM(Tabela11[[#This Row],[Win]:[Loss]])</f>
        <v>0.33333333333333331</v>
      </c>
      <c r="BB7" s="289" t="s">
        <v>202</v>
      </c>
      <c r="BC7" s="293" t="str">
        <f>IF(
  COUNTIFS(Table4[Tipo de Mercado], "Mercado Forte", Table4[Quantidade de Erros de Critérios], 2) &gt;=5,IFERROR(
  COUNTIFS(Table4[Tipo de Mercado], "Mercado Forte", Table4[Quantidade de Erros de Critérios], 2, Table4[Resultado (Win/Loss)], "Win") /
  (COUNTIFS(Table4[Tipo de Mercado], "Mercado Forte", Table4[Quantidade de Erros de Critérios], 2, Table4[Resultado (Win/Loss)], "Win") +
   COUNTIFS(Table4[Tipo de Mercado], "Mercado Forte", Table4[Quantidade de Erros de Critérios], 2, Table4[Resultado (Win/Loss)], "Loss")),
  0
),
  "Amostra pequena"
)</f>
        <v>Amostra pequena</v>
      </c>
      <c r="BD7" s="293" t="str">
        <f>IF(
  COUNTIFS(Table4[Tipo de Mercado], "Mercado de alta volatilidade", Table4[Quantidade de Erros de Critérios], 2) &gt;=5,IFERROR(
  COUNTIFS(Table4[Tipo de Mercado], "Mercado de alta volatilidade", Table4[Quantidade de Erros de Critérios], 2, Table4[Resultado (Win/Loss)], "Win") /
  (COUNTIFS(Table4[Tipo de Mercado], "Mercado de alta volatilidade", Table4[Quantidade de Erros de Critérios], 2, Table4[Resultado (Win/Loss)], "Win") +
   COUNTIFS(Table4[Tipo de Mercado], "Mercado de alta volatilidade", Table4[Quantidade de Erros de Critérios], 2, Table4[Resultado (Win/Loss)], "Loss")),
  0
),
  "Amostra pequena"
)</f>
        <v>Amostra pequena</v>
      </c>
      <c r="BE7" s="294" t="str">
        <f>IF(
  COUNTIFS(Table4[Tipo de Mercado], "Mercado confuso", Table4[Quantidade de Erros de Critérios], 2) &gt;=5,IFERROR(
  COUNTIFS(Table4[Tipo de Mercado], "Mercado confuso", Table4[Quantidade de Erros de Critérios], 2, Table4[Resultado (Win/Loss)], "Win") /
  (COUNTIFS(Table4[Tipo de Mercado], "Mercado confuso", Table4[Quantidade de Erros de Critérios], 2, Table4[Resultado (Win/Loss)], "Win") +
   COUNTIFS(Table4[Tipo de Mercado], "Mercado confuso", Table4[Quantidade de Erros de Critérios], 2, Table4[Resultado (Win/Loss)], "Loss")),
  0
),
  "Amostra pequena"
)</f>
        <v>Amostra pequena</v>
      </c>
    </row>
    <row r="8" spans="1:57" ht="32" customHeight="1">
      <c r="A8" s="224">
        <v>45789</v>
      </c>
      <c r="B8" s="224" t="s">
        <v>189</v>
      </c>
      <c r="C8" s="138" t="s">
        <v>78</v>
      </c>
      <c r="D8" s="225">
        <v>3.472222222222222E-3</v>
      </c>
      <c r="E8" s="226"/>
      <c r="F8" s="226"/>
      <c r="G8" s="225" t="s">
        <v>169</v>
      </c>
      <c r="H8" s="225" t="s">
        <v>75</v>
      </c>
      <c r="I8" s="138" t="s">
        <v>76</v>
      </c>
      <c r="J8" s="138" t="s">
        <v>77</v>
      </c>
      <c r="K8" s="138" t="s">
        <v>77</v>
      </c>
      <c r="L8" s="138" t="s">
        <v>77</v>
      </c>
      <c r="M8" s="138" t="s">
        <v>77</v>
      </c>
      <c r="N8" s="138" t="s">
        <v>77</v>
      </c>
      <c r="O8" s="138" t="s">
        <v>77</v>
      </c>
      <c r="P8" s="138" t="s">
        <v>77</v>
      </c>
      <c r="Q8" s="258"/>
      <c r="R8" s="138" t="s">
        <v>77</v>
      </c>
      <c r="S8" s="138">
        <f>COUNTIF(Table4[[#This Row],[MACD saiu da regiao oposta?]:[BTC com estrutura semelhante?]],"Não")</f>
        <v>0</v>
      </c>
      <c r="T8" s="138"/>
      <c r="V8" s="198"/>
      <c r="W8" s="198"/>
      <c r="X8" s="198"/>
      <c r="Y8" s="229" t="s">
        <v>79</v>
      </c>
      <c r="Z8" s="230">
        <f>COUNTIF(Table4[Par],"SOL/USDT")</f>
        <v>8</v>
      </c>
      <c r="AA8" s="285" t="s">
        <v>192</v>
      </c>
      <c r="AB8" s="229">
        <f>COUNTIF(Table4[Considerei divergencias entre Volume e Preço?],"Não")</f>
        <v>7</v>
      </c>
      <c r="AC8" s="229" t="s">
        <v>95</v>
      </c>
      <c r="AD8" s="229">
        <f>COUNTIFS(Table4[Par],"MEMX/USDT",Table4[Resultado (Win/Loss)],"Win")</f>
        <v>4</v>
      </c>
      <c r="AE8" s="229">
        <f>COUNTIFS(Table4[Par],"MEMX/USDT",Table4[Resultado (Win/Loss)],"Loss")</f>
        <v>4</v>
      </c>
      <c r="AF8" s="229">
        <f>SUM(Table6[[#This Row],[Wins]:[Loss]])</f>
        <v>8</v>
      </c>
      <c r="AG8" s="231">
        <f>AD8/(AD8+AE8)</f>
        <v>0.5</v>
      </c>
      <c r="AH8" s="288" t="s">
        <v>183</v>
      </c>
      <c r="AI8" s="268">
        <f>COUNTIFS(Table4[Tipo de Estratégia],"Bullish - Exaustão + Rompimento",Table4[Resultado (Win/Loss)],"Win")</f>
        <v>0</v>
      </c>
      <c r="AJ8" s="268">
        <f>COUNTIFS(Table4[Tipo de Estratégia],"Bullish - Exaustão + Rompimento",Table4[Resultado (Win/Loss)],"Loss")</f>
        <v>0</v>
      </c>
      <c r="AK8" s="267">
        <f>SUM(Tabela6[[#This Row],[Wins]:[Loss]])</f>
        <v>0</v>
      </c>
      <c r="AL8" s="266" t="e">
        <f>Tabela6[[#This Row],[Wins]]/Tabela6[[#This Row],[Total]]</f>
        <v>#DIV/0!</v>
      </c>
      <c r="AM8" s="270" t="s">
        <v>198</v>
      </c>
      <c r="AN8" s="271">
        <f>COUNTIFS(Table4[Quantidade de Erros de Critérios],3,Table4[Resultado (Win/Loss)],"Win")</f>
        <v>0</v>
      </c>
      <c r="AO8" s="271">
        <f>COUNTIFS(Table4[Quantidade de Erros de Critérios],3,Table4[Resultado (Win/Loss)],"Loss")</f>
        <v>1</v>
      </c>
      <c r="AP8" s="272">
        <f>Tabela7[[#This Row],[Wins]]/SUM(Tabela7[[#This Row],[Wins]],Tabela7[[#This Row],[Loss]])</f>
        <v>0</v>
      </c>
      <c r="BB8" s="289" t="s">
        <v>203</v>
      </c>
      <c r="BC8" s="293" t="str">
        <f>IF(
  COUNTIFS(Table4[Tipo de Mercado], "Mercado Forte", Table4[Quantidade de Erros de Critérios], 3) &gt;=5,IFERROR(
  COUNTIFS(Table4[Tipo de Mercado], "Mercado Forte", Table4[Quantidade de Erros de Critérios], 3, Table4[Resultado (Win/Loss)], "Win") /
  (COUNTIFS(Table4[Tipo de Mercado], "Mercado Forte", Table4[Quantidade de Erros de Critérios], 3, Table4[Resultado (Win/Loss)], "Win") +
   COUNTIFS(Table4[Tipo de Mercado], "Mercado Forte", Table4[Quantidade de Erros de Critérios], 3, Table4[Resultado (Win/Loss)], "Loss")),
  0
),
  "Amostra pequena"
)</f>
        <v>Amostra pequena</v>
      </c>
      <c r="BD8" s="293" t="str">
        <f>IF(
  COUNTIFS(Table4[Tipo de Mercado], "Mercado de alta volatilidade", Table4[Quantidade de Erros de Critérios], 3) &gt;=5,IFERROR(
  COUNTIFS(Table4[Tipo de Mercado], "Mercado de alta volatilidade", Table4[Quantidade de Erros de Critérios], 3, Table4[Resultado (Win/Loss)], "Win") /
  (COUNTIFS(Table4[Tipo de Mercado], "Mercado de alta volatilidade", Table4[Quantidade de Erros de Critérios], 3, Table4[Resultado (Win/Loss)], "Win") +
   COUNTIFS(Table4[Tipo de Mercado], "Mercado de alta volatilidade", Table4[Quantidade de Erros de Critérios], 3, Table4[Resultado (Win/Loss)], "Loss")),
  0
),
  "Amostra pequena"
)</f>
        <v>Amostra pequena</v>
      </c>
      <c r="BE8" s="294" t="str">
        <f>IF(
  COUNTIFS(Table4[Tipo de Mercado], "Mercado confuso", Table4[Quantidade de Erros de Critérios], 3) &gt;=5,IFERROR(
  COUNTIFS(Table4[Tipo de Mercado], "Mercado confuso", Table4[Quantidade de Erros de Critérios], 3, Table4[Resultado (Win/Loss)], "Win") /
  (COUNTIFS(Table4[Tipo de Mercado], "Mercado confuso", Table4[Quantidade de Erros de Critérios], 3, Table4[Resultado (Win/Loss)], "Win") +
   COUNTIFS(Table4[Tipo de Mercado], "Mercado confuso", Table4[Quantidade de Erros de Critérios], 3, Table4[Resultado (Win/Loss)], "Loss")),
  0
),
  "Amostra pequena"
)</f>
        <v>Amostra pequena</v>
      </c>
    </row>
    <row r="9" spans="1:57" ht="32" customHeight="1">
      <c r="A9" s="224">
        <v>45790</v>
      </c>
      <c r="B9" s="224" t="s">
        <v>189</v>
      </c>
      <c r="C9" s="138" t="s">
        <v>78</v>
      </c>
      <c r="D9" s="227">
        <v>0.54513888888888884</v>
      </c>
      <c r="E9" s="228"/>
      <c r="F9" s="228"/>
      <c r="G9" s="225" t="s">
        <v>169</v>
      </c>
      <c r="H9" s="225" t="s">
        <v>75</v>
      </c>
      <c r="I9" s="138" t="s">
        <v>76</v>
      </c>
      <c r="J9" s="138" t="s">
        <v>77</v>
      </c>
      <c r="K9" s="138" t="s">
        <v>77</v>
      </c>
      <c r="L9" s="138" t="s">
        <v>77</v>
      </c>
      <c r="M9" s="138" t="s">
        <v>77</v>
      </c>
      <c r="N9" s="138" t="s">
        <v>77</v>
      </c>
      <c r="O9" s="138" t="s">
        <v>77</v>
      </c>
      <c r="P9" s="138" t="s">
        <v>77</v>
      </c>
      <c r="Q9" s="258"/>
      <c r="R9" s="138" t="s">
        <v>77</v>
      </c>
      <c r="S9" s="138">
        <f>COUNTIF(Table4[[#This Row],[MACD saiu da regiao oposta?]:[BTC com estrutura semelhante?]],"Não")</f>
        <v>0</v>
      </c>
      <c r="T9" s="138"/>
      <c r="V9" s="198"/>
      <c r="W9" s="198"/>
      <c r="X9" s="198"/>
      <c r="Y9" s="229" t="s">
        <v>83</v>
      </c>
      <c r="Z9" s="230">
        <f>COUNTIF(Table4[Par],"IDX/USDT")</f>
        <v>6</v>
      </c>
      <c r="AA9" s="285" t="s">
        <v>73</v>
      </c>
      <c r="AB9" s="229">
        <f>COUNTIF(Table4[BTC com estrutura semelhante?],"Não")</f>
        <v>6</v>
      </c>
      <c r="AC9" s="229" t="s">
        <v>83</v>
      </c>
      <c r="AD9" s="229">
        <f>COUNTIFS(Table4[Par],"IDX/USDT",Table4[Resultado (Win/Loss)],"Win")</f>
        <v>4</v>
      </c>
      <c r="AE9" s="229">
        <f>COUNTIFS(Table4[Par],"IDX/USDT",Table4[Resultado (Win/Loss)],"Loss")</f>
        <v>2</v>
      </c>
      <c r="AF9" s="229">
        <f>SUM(Table6[[#This Row],[Wins]:[Loss]])</f>
        <v>6</v>
      </c>
      <c r="AG9" s="231">
        <f>AD9/(AD9+AE9)</f>
        <v>0.66666666666666663</v>
      </c>
      <c r="AM9" s="273" t="s">
        <v>199</v>
      </c>
      <c r="AN9" s="271">
        <f>COUNTIFS(Table4[Quantidade de Erros de Critérios],"&gt;=4",Table4[Resultado (Win/Loss)],"Win")</f>
        <v>1</v>
      </c>
      <c r="AO9" s="271">
        <f>COUNTIFS(Table4[Quantidade de Erros de Critérios],"&gt;=4",Table4[Resultado (Win/Loss)],"Loss")</f>
        <v>4</v>
      </c>
      <c r="AP9" s="272">
        <f>Tabela7[[#This Row],[Wins]]/SUM(Tabela7[[#This Row],[Wins]],Tabela7[[#This Row],[Loss]])</f>
        <v>0.2</v>
      </c>
      <c r="BB9" s="292" t="s">
        <v>199</v>
      </c>
      <c r="BC9" s="295" t="str">
        <f>IF(
  COUNTIFS(Table4[Tipo de Mercado], "Mercado Forte", Table4[Quantidade de Erros de Critérios], "&gt;=4") &gt;=5,IFERROR(
  COUNTIFS(Table4[Tipo de Mercado], "Mercado Forte", Table4[Quantidade de Erros de Critérios], "&gt;=4", Table4[Resultado (Win/Loss)], "Win") /
  (COUNTIFS(Table4[Tipo de Mercado], "Mercado Forte", Table4[Quantidade de Erros de Critérios], "&gt;=4", Table4[Resultado (Win/Loss)], "Win") +
   COUNTIFS(Table4[Tipo de Mercado], "Mercado Forte", Table4[Quantidade de Erros de Critérios], "&gt;=4", Table4[Resultado (Win/Loss)], "Loss")),
  0
),
  "Amostra pequena"
)</f>
        <v>Amostra pequena</v>
      </c>
      <c r="BD9" s="295" t="str">
        <f>IF(
  COUNTIFS(Table4[Tipo de Mercado], "Mercado de alta volatilidade", Table4[Quantidade de Erros de Critérios], "&gt;=4") &gt;=5,IFERROR(
  COUNTIFS(Table4[Tipo de Mercado], "Mercado de alta volatilidade", Table4[Quantidade de Erros de Critérios], "&gt;=4", Table4[Resultado (Win/Loss)], "Win") /
  (COUNTIFS(Table4[Tipo de Mercado], "Mercado de alta volatilidade", Table4[Quantidade de Erros de Critérios], "&gt;=4", Table4[Resultado (Win/Loss)], "Win") +
   COUNTIFS(Table4[Tipo de Mercado], "Mercado de alta volatilidade", Table4[Quantidade de Erros de Critérios], "&gt;=4", Table4[Resultado (Win/Loss)], "Loss")),
  0
),
  "Amostra pequena"
)</f>
        <v>Amostra pequena</v>
      </c>
      <c r="BE9" s="296" t="str">
        <f>IF(
  COUNTIFS(Table4[Tipo de Mercado], "Mercado confuso", Table4[Quantidade de Erros de Critérios], "&gt;=4") &gt;=5,IFERROR(
  COUNTIFS(Table4[Tipo de Mercado], "Mercado confuso", Table4[Quantidade de Erros de Critérios], "&gt;=4", Table4[Resultado (Win/Loss)], "Win") /
  (COUNTIFS(Table4[Tipo de Mercado], "Mercado confuso", Table4[Quantidade de Erros de Critérios], "&gt;=4", Table4[Resultado (Win/Loss)], "Win") +
   COUNTIFS(Table4[Tipo de Mercado], "Mercado confuso", Table4[Quantidade de Erros de Critérios], "&gt;=4", Table4[Resultado (Win/Loss)], "Loss")),
  0
),
  "Amostra pequena"
)</f>
        <v>Amostra pequena</v>
      </c>
    </row>
    <row r="10" spans="1:57" ht="32" customHeight="1">
      <c r="A10" s="224">
        <v>45790</v>
      </c>
      <c r="B10" s="224" t="s">
        <v>189</v>
      </c>
      <c r="C10" s="138" t="s">
        <v>74</v>
      </c>
      <c r="D10" s="225">
        <v>0.67500000000000004</v>
      </c>
      <c r="E10" s="226"/>
      <c r="F10" s="226"/>
      <c r="G10" s="225" t="s">
        <v>169</v>
      </c>
      <c r="H10" s="225" t="s">
        <v>75</v>
      </c>
      <c r="I10" s="138" t="s">
        <v>76</v>
      </c>
      <c r="J10" s="138" t="s">
        <v>77</v>
      </c>
      <c r="K10" s="138" t="s">
        <v>77</v>
      </c>
      <c r="L10" s="138" t="s">
        <v>77</v>
      </c>
      <c r="M10" s="138" t="s">
        <v>80</v>
      </c>
      <c r="N10" s="138" t="s">
        <v>80</v>
      </c>
      <c r="O10" s="138" t="s">
        <v>80</v>
      </c>
      <c r="P10" s="138" t="s">
        <v>80</v>
      </c>
      <c r="Q10" s="258"/>
      <c r="R10" s="138" t="s">
        <v>80</v>
      </c>
      <c r="S10" s="138">
        <f>COUNTIF(Table4[[#This Row],[MACD saiu da regiao oposta?]:[BTC com estrutura semelhante?]],"Não")</f>
        <v>5</v>
      </c>
      <c r="T10" s="138"/>
      <c r="V10" s="198"/>
      <c r="W10" s="198"/>
      <c r="X10" s="198"/>
      <c r="Y10" s="199"/>
      <c r="Z10" s="199"/>
      <c r="AA10" s="285" t="s">
        <v>72</v>
      </c>
      <c r="AB10" s="229">
        <f>COUNTIF(Table4[Resistência recente rompida ou inexistente?],"Não")</f>
        <v>6</v>
      </c>
      <c r="AC10" s="199"/>
      <c r="AD10" s="199"/>
      <c r="AE10" s="199"/>
      <c r="AF10" s="199"/>
      <c r="AG10" s="199"/>
    </row>
    <row r="11" spans="1:57" ht="32" customHeight="1">
      <c r="A11" s="224">
        <v>45790</v>
      </c>
      <c r="B11" s="224" t="s">
        <v>189</v>
      </c>
      <c r="C11" s="138" t="s">
        <v>78</v>
      </c>
      <c r="D11" s="225">
        <v>0.83750000000000002</v>
      </c>
      <c r="E11" s="226"/>
      <c r="F11" s="226"/>
      <c r="G11" s="225" t="s">
        <v>170</v>
      </c>
      <c r="H11" s="225" t="s">
        <v>81</v>
      </c>
      <c r="I11" s="138" t="s">
        <v>82</v>
      </c>
      <c r="J11" s="138" t="s">
        <v>77</v>
      </c>
      <c r="K11" s="138" t="s">
        <v>77</v>
      </c>
      <c r="L11" s="138" t="s">
        <v>77</v>
      </c>
      <c r="M11" s="138" t="s">
        <v>77</v>
      </c>
      <c r="N11" s="138" t="s">
        <v>77</v>
      </c>
      <c r="O11" s="138" t="s">
        <v>77</v>
      </c>
      <c r="P11" s="138" t="s">
        <v>80</v>
      </c>
      <c r="Q11" s="258"/>
      <c r="R11" s="138" t="s">
        <v>77</v>
      </c>
      <c r="S11" s="138">
        <f>COUNTIF(Table4[[#This Row],[MACD saiu da regiao oposta?]:[BTC com estrutura semelhante?]],"Não")</f>
        <v>1</v>
      </c>
      <c r="T11" s="138"/>
      <c r="AA11" s="286" t="s">
        <v>68</v>
      </c>
      <c r="AB11" s="259">
        <f>COUNTIF(Table4[Preço descolando das EMAs após cruzamento],"Não")</f>
        <v>6</v>
      </c>
      <c r="BB11" s="379" t="s">
        <v>212</v>
      </c>
      <c r="BC11" s="379"/>
      <c r="BD11" s="379"/>
      <c r="BE11" s="379"/>
    </row>
    <row r="12" spans="1:57" ht="32" customHeight="1">
      <c r="A12" s="224">
        <v>45790</v>
      </c>
      <c r="B12" s="224" t="s">
        <v>189</v>
      </c>
      <c r="C12" s="138" t="s">
        <v>74</v>
      </c>
      <c r="D12" s="225">
        <v>0.85069444444444442</v>
      </c>
      <c r="E12" s="226"/>
      <c r="F12" s="226"/>
      <c r="G12" s="225" t="s">
        <v>170</v>
      </c>
      <c r="H12" s="225" t="s">
        <v>81</v>
      </c>
      <c r="I12" s="138" t="s">
        <v>76</v>
      </c>
      <c r="J12" s="138" t="s">
        <v>77</v>
      </c>
      <c r="K12" s="138" t="s">
        <v>77</v>
      </c>
      <c r="L12" s="138" t="s">
        <v>77</v>
      </c>
      <c r="M12" s="138" t="s">
        <v>77</v>
      </c>
      <c r="N12" s="138" t="s">
        <v>77</v>
      </c>
      <c r="O12" s="138" t="s">
        <v>77</v>
      </c>
      <c r="P12" s="138" t="s">
        <v>80</v>
      </c>
      <c r="Q12" s="258"/>
      <c r="R12" s="138" t="s">
        <v>77</v>
      </c>
      <c r="S12" s="138">
        <f>COUNTIF(Table4[[#This Row],[MACD saiu da regiao oposta?]:[BTC com estrutura semelhante?]],"Não")</f>
        <v>1</v>
      </c>
      <c r="T12" s="138"/>
    </row>
    <row r="13" spans="1:57" ht="32" customHeight="1">
      <c r="A13" s="224">
        <v>45790</v>
      </c>
      <c r="B13" s="224" t="s">
        <v>189</v>
      </c>
      <c r="C13" s="138" t="s">
        <v>79</v>
      </c>
      <c r="D13" s="225">
        <v>0.91319444444444442</v>
      </c>
      <c r="E13" s="226"/>
      <c r="F13" s="226"/>
      <c r="G13" s="225" t="s">
        <v>170</v>
      </c>
      <c r="H13" s="225" t="s">
        <v>81</v>
      </c>
      <c r="I13" s="138" t="s">
        <v>76</v>
      </c>
      <c r="J13" s="138" t="s">
        <v>77</v>
      </c>
      <c r="K13" s="138" t="s">
        <v>77</v>
      </c>
      <c r="L13" s="138" t="s">
        <v>77</v>
      </c>
      <c r="M13" s="138" t="s">
        <v>77</v>
      </c>
      <c r="N13" s="138" t="s">
        <v>77</v>
      </c>
      <c r="O13" s="138" t="s">
        <v>77</v>
      </c>
      <c r="P13" s="138" t="s">
        <v>77</v>
      </c>
      <c r="Q13" s="258"/>
      <c r="R13" s="138" t="s">
        <v>77</v>
      </c>
      <c r="S13" s="138">
        <f>COUNTIF(Table4[[#This Row],[MACD saiu da regiao oposta?]:[BTC com estrutura semelhante?]],"Não")</f>
        <v>0</v>
      </c>
      <c r="T13" s="138"/>
    </row>
    <row r="14" spans="1:57" ht="32" customHeight="1">
      <c r="A14" s="224">
        <v>45791</v>
      </c>
      <c r="B14" s="224" t="s">
        <v>189</v>
      </c>
      <c r="C14" s="138" t="s">
        <v>78</v>
      </c>
      <c r="D14" s="225">
        <v>0.87222222222222223</v>
      </c>
      <c r="E14" s="226"/>
      <c r="F14" s="226"/>
      <c r="G14" s="225" t="s">
        <v>169</v>
      </c>
      <c r="H14" s="225" t="s">
        <v>75</v>
      </c>
      <c r="I14" s="138" t="s">
        <v>82</v>
      </c>
      <c r="J14" s="138" t="s">
        <v>77</v>
      </c>
      <c r="K14" s="138" t="s">
        <v>77</v>
      </c>
      <c r="L14" s="138" t="s">
        <v>80</v>
      </c>
      <c r="M14" s="138" t="s">
        <v>80</v>
      </c>
      <c r="N14" s="138" t="s">
        <v>77</v>
      </c>
      <c r="O14" s="138" t="s">
        <v>77</v>
      </c>
      <c r="P14" s="138" t="s">
        <v>77</v>
      </c>
      <c r="Q14" s="258"/>
      <c r="R14" s="138" t="s">
        <v>77</v>
      </c>
      <c r="S14" s="138">
        <f>COUNTIF(Table4[[#This Row],[MACD saiu da regiao oposta?]:[BTC com estrutura semelhante?]],"Não")</f>
        <v>2</v>
      </c>
      <c r="T14" s="138"/>
    </row>
    <row r="15" spans="1:57" ht="32" customHeight="1">
      <c r="A15" s="224">
        <v>45791</v>
      </c>
      <c r="B15" s="224" t="s">
        <v>189</v>
      </c>
      <c r="C15" s="138" t="s">
        <v>74</v>
      </c>
      <c r="D15" s="225">
        <v>0.8881944444444444</v>
      </c>
      <c r="E15" s="226"/>
      <c r="F15" s="226"/>
      <c r="G15" s="225" t="s">
        <v>169</v>
      </c>
      <c r="H15" s="225" t="s">
        <v>75</v>
      </c>
      <c r="I15" s="138" t="s">
        <v>76</v>
      </c>
      <c r="J15" s="138" t="s">
        <v>77</v>
      </c>
      <c r="K15" s="138" t="s">
        <v>77</v>
      </c>
      <c r="L15" s="138" t="s">
        <v>77</v>
      </c>
      <c r="M15" s="138" t="s">
        <v>77</v>
      </c>
      <c r="N15" s="138" t="s">
        <v>77</v>
      </c>
      <c r="O15" s="138" t="s">
        <v>77</v>
      </c>
      <c r="P15" s="138" t="s">
        <v>77</v>
      </c>
      <c r="Q15" s="258"/>
      <c r="R15" s="138" t="s">
        <v>77</v>
      </c>
      <c r="S15" s="138">
        <f>COUNTIF(Table4[[#This Row],[MACD saiu da regiao oposta?]:[BTC com estrutura semelhante?]],"Não")</f>
        <v>0</v>
      </c>
      <c r="T15" s="138"/>
    </row>
    <row r="16" spans="1:57" ht="32" customHeight="1">
      <c r="A16" s="224">
        <v>45791</v>
      </c>
      <c r="B16" s="224" t="s">
        <v>189</v>
      </c>
      <c r="C16" s="138" t="s">
        <v>78</v>
      </c>
      <c r="D16" s="225">
        <v>0.93125000000000002</v>
      </c>
      <c r="E16" s="226"/>
      <c r="F16" s="226"/>
      <c r="G16" s="225" t="s">
        <v>170</v>
      </c>
      <c r="H16" s="225" t="s">
        <v>81</v>
      </c>
      <c r="I16" s="138" t="s">
        <v>76</v>
      </c>
      <c r="J16" s="138" t="s">
        <v>77</v>
      </c>
      <c r="K16" s="138" t="s">
        <v>77</v>
      </c>
      <c r="L16" s="138" t="s">
        <v>77</v>
      </c>
      <c r="M16" s="138" t="s">
        <v>77</v>
      </c>
      <c r="N16" s="138" t="s">
        <v>77</v>
      </c>
      <c r="O16" s="138" t="s">
        <v>77</v>
      </c>
      <c r="P16" s="138" t="s">
        <v>77</v>
      </c>
      <c r="Q16" s="258"/>
      <c r="R16" s="138" t="s">
        <v>77</v>
      </c>
      <c r="S16" s="138">
        <f>COUNTIF(Table4[[#This Row],[MACD saiu da regiao oposta?]:[BTC com estrutura semelhante?]],"Não")</f>
        <v>0</v>
      </c>
      <c r="T16" s="138"/>
    </row>
    <row r="17" spans="1:20" ht="32" customHeight="1">
      <c r="A17" s="224">
        <v>45791</v>
      </c>
      <c r="B17" s="224" t="s">
        <v>189</v>
      </c>
      <c r="C17" s="138" t="s">
        <v>83</v>
      </c>
      <c r="D17" s="225">
        <v>0.94513888888888886</v>
      </c>
      <c r="E17" s="226"/>
      <c r="F17" s="226"/>
      <c r="G17" s="225" t="s">
        <v>170</v>
      </c>
      <c r="H17" s="225" t="s">
        <v>81</v>
      </c>
      <c r="I17" s="138" t="s">
        <v>76</v>
      </c>
      <c r="J17" s="138" t="s">
        <v>77</v>
      </c>
      <c r="K17" s="138" t="s">
        <v>77</v>
      </c>
      <c r="L17" s="138" t="s">
        <v>77</v>
      </c>
      <c r="M17" s="138" t="s">
        <v>77</v>
      </c>
      <c r="N17" s="138" t="s">
        <v>77</v>
      </c>
      <c r="O17" s="138" t="s">
        <v>77</v>
      </c>
      <c r="P17" s="138" t="s">
        <v>77</v>
      </c>
      <c r="Q17" s="258"/>
      <c r="R17" s="138" t="s">
        <v>77</v>
      </c>
      <c r="S17" s="138">
        <f>COUNTIF(Table4[[#This Row],[MACD saiu da regiao oposta?]:[BTC com estrutura semelhante?]],"Não")</f>
        <v>0</v>
      </c>
      <c r="T17" s="138"/>
    </row>
    <row r="18" spans="1:20" ht="32" customHeight="1">
      <c r="A18" s="224">
        <v>45792</v>
      </c>
      <c r="B18" s="224" t="s">
        <v>189</v>
      </c>
      <c r="C18" s="138" t="s">
        <v>74</v>
      </c>
      <c r="D18" s="225">
        <v>0.63888888888888884</v>
      </c>
      <c r="E18" s="225" t="s">
        <v>84</v>
      </c>
      <c r="F18" s="225" t="s">
        <v>85</v>
      </c>
      <c r="G18" s="225" t="s">
        <v>170</v>
      </c>
      <c r="H18" s="225" t="s">
        <v>81</v>
      </c>
      <c r="I18" s="138" t="s">
        <v>76</v>
      </c>
      <c r="J18" s="138" t="s">
        <v>77</v>
      </c>
      <c r="K18" s="138" t="s">
        <v>77</v>
      </c>
      <c r="L18" s="138" t="s">
        <v>77</v>
      </c>
      <c r="M18" s="138" t="s">
        <v>77</v>
      </c>
      <c r="N18" s="138" t="s">
        <v>77</v>
      </c>
      <c r="O18" s="138" t="s">
        <v>77</v>
      </c>
      <c r="P18" s="138" t="s">
        <v>77</v>
      </c>
      <c r="Q18" s="258"/>
      <c r="R18" s="138" t="s">
        <v>77</v>
      </c>
      <c r="S18" s="138">
        <f>COUNTIF(Table4[[#This Row],[MACD saiu da regiao oposta?]:[BTC com estrutura semelhante?]],"Não")</f>
        <v>0</v>
      </c>
      <c r="T18" s="138"/>
    </row>
    <row r="19" spans="1:20" ht="32" customHeight="1">
      <c r="A19" s="224">
        <v>45792</v>
      </c>
      <c r="B19" s="224" t="s">
        <v>189</v>
      </c>
      <c r="C19" s="138" t="s">
        <v>74</v>
      </c>
      <c r="D19" s="225">
        <v>0.65138888888888891</v>
      </c>
      <c r="E19" s="225" t="s">
        <v>84</v>
      </c>
      <c r="F19" s="225" t="s">
        <v>85</v>
      </c>
      <c r="G19" s="225" t="s">
        <v>170</v>
      </c>
      <c r="H19" s="225" t="s">
        <v>81</v>
      </c>
      <c r="I19" s="138" t="s">
        <v>76</v>
      </c>
      <c r="J19" s="138" t="s">
        <v>77</v>
      </c>
      <c r="K19" s="138" t="s">
        <v>77</v>
      </c>
      <c r="L19" s="138" t="s">
        <v>77</v>
      </c>
      <c r="M19" s="138" t="s">
        <v>77</v>
      </c>
      <c r="N19" s="138" t="s">
        <v>77</v>
      </c>
      <c r="O19" s="138" t="s">
        <v>77</v>
      </c>
      <c r="P19" s="138" t="s">
        <v>77</v>
      </c>
      <c r="Q19" s="258"/>
      <c r="R19" s="138" t="s">
        <v>77</v>
      </c>
      <c r="S19" s="138">
        <f>COUNTIF(Table4[[#This Row],[MACD saiu da regiao oposta?]:[BTC com estrutura semelhante?]],"Não")</f>
        <v>0</v>
      </c>
      <c r="T19" s="138"/>
    </row>
    <row r="20" spans="1:20" ht="32" customHeight="1">
      <c r="A20" s="224">
        <v>45792</v>
      </c>
      <c r="B20" s="224" t="s">
        <v>189</v>
      </c>
      <c r="C20" s="138" t="s">
        <v>74</v>
      </c>
      <c r="D20" s="225">
        <v>0.82361111111111107</v>
      </c>
      <c r="E20" s="225" t="s">
        <v>84</v>
      </c>
      <c r="F20" s="225" t="s">
        <v>86</v>
      </c>
      <c r="G20" s="225" t="s">
        <v>169</v>
      </c>
      <c r="H20" s="225" t="s">
        <v>75</v>
      </c>
      <c r="I20" s="138" t="s">
        <v>82</v>
      </c>
      <c r="J20" s="138" t="s">
        <v>77</v>
      </c>
      <c r="K20" s="138" t="s">
        <v>77</v>
      </c>
      <c r="L20" s="138" t="s">
        <v>77</v>
      </c>
      <c r="M20" s="138" t="s">
        <v>77</v>
      </c>
      <c r="N20" s="138" t="s">
        <v>77</v>
      </c>
      <c r="O20" s="138" t="s">
        <v>77</v>
      </c>
      <c r="P20" s="138" t="s">
        <v>77</v>
      </c>
      <c r="Q20" s="258"/>
      <c r="R20" s="138" t="s">
        <v>80</v>
      </c>
      <c r="S20" s="138">
        <f>COUNTIF(Table4[[#This Row],[MACD saiu da regiao oposta?]:[BTC com estrutura semelhante?]],"Não")</f>
        <v>1</v>
      </c>
      <c r="T20" s="200" t="s">
        <v>87</v>
      </c>
    </row>
    <row r="21" spans="1:20" ht="32" customHeight="1">
      <c r="A21" s="224">
        <v>45793</v>
      </c>
      <c r="B21" s="224" t="s">
        <v>190</v>
      </c>
      <c r="C21" s="138" t="s">
        <v>79</v>
      </c>
      <c r="D21" s="225">
        <v>0.45694444444444443</v>
      </c>
      <c r="E21" s="225" t="s">
        <v>84</v>
      </c>
      <c r="F21" s="225" t="s">
        <v>85</v>
      </c>
      <c r="G21" s="225" t="s">
        <v>169</v>
      </c>
      <c r="H21" s="138" t="s">
        <v>75</v>
      </c>
      <c r="I21" s="138" t="s">
        <v>82</v>
      </c>
      <c r="J21" s="138" t="s">
        <v>77</v>
      </c>
      <c r="K21" s="138" t="s">
        <v>77</v>
      </c>
      <c r="L21" s="138" t="s">
        <v>77</v>
      </c>
      <c r="M21" s="138" t="s">
        <v>80</v>
      </c>
      <c r="N21" s="138" t="s">
        <v>77</v>
      </c>
      <c r="O21" s="138" t="s">
        <v>77</v>
      </c>
      <c r="P21" s="138" t="s">
        <v>80</v>
      </c>
      <c r="Q21" s="258"/>
      <c r="R21" s="138" t="s">
        <v>77</v>
      </c>
      <c r="S21" s="138">
        <f>COUNTIF(Table4[[#This Row],[MACD saiu da regiao oposta?]:[BTC com estrutura semelhante?]],"Não")</f>
        <v>2</v>
      </c>
      <c r="T21" s="223" t="s">
        <v>106</v>
      </c>
    </row>
    <row r="22" spans="1:20" ht="32" customHeight="1">
      <c r="A22" s="224">
        <v>45793</v>
      </c>
      <c r="B22" s="224" t="s">
        <v>190</v>
      </c>
      <c r="C22" s="138" t="s">
        <v>78</v>
      </c>
      <c r="D22" s="225">
        <v>0.6791666666666667</v>
      </c>
      <c r="E22" s="225" t="s">
        <v>107</v>
      </c>
      <c r="F22" s="225" t="s">
        <v>85</v>
      </c>
      <c r="G22" s="225" t="s">
        <v>170</v>
      </c>
      <c r="H22" s="138" t="s">
        <v>81</v>
      </c>
      <c r="I22" s="138" t="s">
        <v>82</v>
      </c>
      <c r="J22" s="138" t="s">
        <v>77</v>
      </c>
      <c r="K22" s="138" t="s">
        <v>77</v>
      </c>
      <c r="L22" s="138" t="s">
        <v>77</v>
      </c>
      <c r="M22" s="138" t="s">
        <v>77</v>
      </c>
      <c r="N22" s="138" t="s">
        <v>77</v>
      </c>
      <c r="O22" s="138" t="s">
        <v>77</v>
      </c>
      <c r="P22" s="138" t="s">
        <v>77</v>
      </c>
      <c r="Q22" s="258"/>
      <c r="R22" s="138" t="s">
        <v>77</v>
      </c>
      <c r="S22" s="138">
        <f>COUNTIF(Table4[[#This Row],[MACD saiu da regiao oposta?]:[BTC com estrutura semelhante?]],"Não")</f>
        <v>0</v>
      </c>
      <c r="T22" s="200" t="s">
        <v>108</v>
      </c>
    </row>
    <row r="23" spans="1:20" ht="32" customHeight="1">
      <c r="A23" s="224">
        <v>45793</v>
      </c>
      <c r="B23" s="224" t="s">
        <v>190</v>
      </c>
      <c r="C23" s="138" t="s">
        <v>95</v>
      </c>
      <c r="D23" s="225">
        <v>0.73888888888888893</v>
      </c>
      <c r="E23" s="225" t="s">
        <v>109</v>
      </c>
      <c r="F23" s="225" t="s">
        <v>85</v>
      </c>
      <c r="G23" s="225" t="s">
        <v>170</v>
      </c>
      <c r="H23" s="138" t="s">
        <v>81</v>
      </c>
      <c r="I23" s="138" t="s">
        <v>76</v>
      </c>
      <c r="J23" s="138" t="s">
        <v>77</v>
      </c>
      <c r="K23" s="138" t="s">
        <v>77</v>
      </c>
      <c r="L23" s="138" t="s">
        <v>77</v>
      </c>
      <c r="M23" s="138" t="s">
        <v>80</v>
      </c>
      <c r="N23" s="138" t="s">
        <v>77</v>
      </c>
      <c r="O23" s="138" t="s">
        <v>77</v>
      </c>
      <c r="P23" s="138" t="s">
        <v>77</v>
      </c>
      <c r="Q23" s="258"/>
      <c r="R23" s="138" t="s">
        <v>77</v>
      </c>
      <c r="S23" s="138">
        <f>COUNTIF(Table4[[#This Row],[MACD saiu da regiao oposta?]:[BTC com estrutura semelhante?]],"Não")</f>
        <v>1</v>
      </c>
      <c r="T23" s="138"/>
    </row>
    <row r="24" spans="1:20" ht="35" customHeight="1">
      <c r="A24" s="224">
        <v>45793</v>
      </c>
      <c r="B24" s="224" t="s">
        <v>190</v>
      </c>
      <c r="C24" s="138" t="s">
        <v>74</v>
      </c>
      <c r="D24" s="225">
        <v>0.80694444444444446</v>
      </c>
      <c r="E24" s="225" t="s">
        <v>109</v>
      </c>
      <c r="F24" s="225" t="s">
        <v>85</v>
      </c>
      <c r="G24" s="225" t="s">
        <v>170</v>
      </c>
      <c r="H24" s="138" t="s">
        <v>81</v>
      </c>
      <c r="I24" s="138" t="s">
        <v>82</v>
      </c>
      <c r="J24" s="138" t="s">
        <v>77</v>
      </c>
      <c r="K24" s="138" t="s">
        <v>77</v>
      </c>
      <c r="L24" s="138" t="s">
        <v>77</v>
      </c>
      <c r="M24" s="138" t="s">
        <v>80</v>
      </c>
      <c r="N24" s="138" t="s">
        <v>77</v>
      </c>
      <c r="O24" s="138" t="s">
        <v>77</v>
      </c>
      <c r="P24" s="138" t="s">
        <v>77</v>
      </c>
      <c r="Q24" s="258"/>
      <c r="R24" s="138" t="s">
        <v>77</v>
      </c>
      <c r="S24" s="138">
        <f>COUNTIF(Table4[[#This Row],[MACD saiu da regiao oposta?]:[BTC com estrutura semelhante?]],"Não")</f>
        <v>1</v>
      </c>
      <c r="T24" s="223" t="s">
        <v>112</v>
      </c>
    </row>
    <row r="25" spans="1:20" ht="32" customHeight="1">
      <c r="A25" s="224">
        <v>45793</v>
      </c>
      <c r="B25" s="224" t="s">
        <v>190</v>
      </c>
      <c r="C25" s="138" t="s">
        <v>95</v>
      </c>
      <c r="D25" s="225">
        <v>0.81736111111111109</v>
      </c>
      <c r="E25" s="225" t="s">
        <v>110</v>
      </c>
      <c r="F25" s="225" t="s">
        <v>85</v>
      </c>
      <c r="G25" s="225" t="s">
        <v>170</v>
      </c>
      <c r="H25" s="138" t="s">
        <v>81</v>
      </c>
      <c r="I25" s="138" t="s">
        <v>82</v>
      </c>
      <c r="J25" s="138" t="s">
        <v>77</v>
      </c>
      <c r="K25" s="138" t="s">
        <v>77</v>
      </c>
      <c r="L25" s="138" t="s">
        <v>77</v>
      </c>
      <c r="M25" s="138" t="s">
        <v>77</v>
      </c>
      <c r="N25" s="138" t="s">
        <v>77</v>
      </c>
      <c r="O25" s="138" t="s">
        <v>77</v>
      </c>
      <c r="P25" s="138" t="s">
        <v>80</v>
      </c>
      <c r="Q25" s="258"/>
      <c r="R25" s="138" t="s">
        <v>80</v>
      </c>
      <c r="S25" s="138">
        <f>COUNTIF(Table4[[#This Row],[MACD saiu da regiao oposta?]:[BTC com estrutura semelhante?]],"Não")</f>
        <v>2</v>
      </c>
      <c r="T25" s="250" t="s">
        <v>113</v>
      </c>
    </row>
    <row r="26" spans="1:20" ht="36" customHeight="1">
      <c r="A26" s="224">
        <v>45793</v>
      </c>
      <c r="B26" s="224" t="s">
        <v>190</v>
      </c>
      <c r="C26" s="138" t="s">
        <v>83</v>
      </c>
      <c r="D26" s="225">
        <v>0.82499999999999996</v>
      </c>
      <c r="E26" s="225" t="s">
        <v>111</v>
      </c>
      <c r="F26" s="225" t="s">
        <v>85</v>
      </c>
      <c r="G26" s="225" t="s">
        <v>170</v>
      </c>
      <c r="H26" s="138" t="s">
        <v>81</v>
      </c>
      <c r="I26" s="138" t="s">
        <v>76</v>
      </c>
      <c r="J26" s="138" t="s">
        <v>77</v>
      </c>
      <c r="K26" s="138" t="s">
        <v>77</v>
      </c>
      <c r="L26" s="138" t="s">
        <v>77</v>
      </c>
      <c r="M26" s="138" t="s">
        <v>77</v>
      </c>
      <c r="N26" s="138" t="s">
        <v>77</v>
      </c>
      <c r="O26" s="138" t="s">
        <v>77</v>
      </c>
      <c r="P26" s="138" t="s">
        <v>77</v>
      </c>
      <c r="Q26" s="258"/>
      <c r="R26" s="138" t="s">
        <v>80</v>
      </c>
      <c r="S26" s="138">
        <f>COUNTIF(Table4[[#This Row],[MACD saiu da regiao oposta?]:[BTC com estrutura semelhante?]],"Não")</f>
        <v>1</v>
      </c>
      <c r="T26" s="223" t="s">
        <v>114</v>
      </c>
    </row>
    <row r="27" spans="1:20" ht="37" customHeight="1">
      <c r="A27" s="224">
        <v>45794</v>
      </c>
      <c r="B27" s="224" t="s">
        <v>189</v>
      </c>
      <c r="C27" s="138" t="s">
        <v>78</v>
      </c>
      <c r="D27" s="225">
        <v>0.49513888888888891</v>
      </c>
      <c r="E27" s="225" t="s">
        <v>84</v>
      </c>
      <c r="F27" s="225" t="s">
        <v>85</v>
      </c>
      <c r="G27" s="225" t="s">
        <v>169</v>
      </c>
      <c r="H27" s="138" t="s">
        <v>75</v>
      </c>
      <c r="I27" s="138" t="s">
        <v>82</v>
      </c>
      <c r="J27" s="138" t="s">
        <v>77</v>
      </c>
      <c r="K27" s="138" t="s">
        <v>77</v>
      </c>
      <c r="L27" s="138" t="s">
        <v>77</v>
      </c>
      <c r="M27" s="138" t="s">
        <v>77</v>
      </c>
      <c r="N27" s="138" t="s">
        <v>77</v>
      </c>
      <c r="O27" s="138" t="s">
        <v>77</v>
      </c>
      <c r="P27" s="138" t="s">
        <v>77</v>
      </c>
      <c r="Q27" s="258"/>
      <c r="R27" s="138" t="s">
        <v>77</v>
      </c>
      <c r="S27" s="138">
        <f>COUNTIF(Table4[[#This Row],[MACD saiu da regiao oposta?]:[BTC com estrutura semelhante?]],"Não")</f>
        <v>0</v>
      </c>
      <c r="T27" s="223" t="s">
        <v>120</v>
      </c>
    </row>
    <row r="28" spans="1:20" ht="37" customHeight="1">
      <c r="A28" s="224">
        <v>45794</v>
      </c>
      <c r="B28" s="224" t="s">
        <v>189</v>
      </c>
      <c r="C28" s="138" t="s">
        <v>74</v>
      </c>
      <c r="D28" s="225">
        <v>0.54305555555555551</v>
      </c>
      <c r="E28" s="225" t="s">
        <v>107</v>
      </c>
      <c r="F28" s="225" t="s">
        <v>85</v>
      </c>
      <c r="G28" s="225" t="s">
        <v>170</v>
      </c>
      <c r="H28" s="138" t="s">
        <v>81</v>
      </c>
      <c r="I28" s="138" t="s">
        <v>76</v>
      </c>
      <c r="J28" s="138" t="s">
        <v>77</v>
      </c>
      <c r="K28" s="138" t="s">
        <v>77</v>
      </c>
      <c r="L28" s="138" t="s">
        <v>77</v>
      </c>
      <c r="M28" s="138" t="s">
        <v>77</v>
      </c>
      <c r="N28" s="138" t="s">
        <v>77</v>
      </c>
      <c r="O28" s="138" t="s">
        <v>77</v>
      </c>
      <c r="P28" s="138" t="s">
        <v>77</v>
      </c>
      <c r="Q28" s="258"/>
      <c r="R28" s="138" t="s">
        <v>77</v>
      </c>
      <c r="S28" s="138">
        <f>COUNTIF(Table4[[#This Row],[MACD saiu da regiao oposta?]:[BTC com estrutura semelhante?]],"Não")</f>
        <v>0</v>
      </c>
      <c r="T28" s="200" t="s">
        <v>121</v>
      </c>
    </row>
    <row r="29" spans="1:20" s="193" customFormat="1" ht="37" customHeight="1">
      <c r="A29" s="224">
        <v>45794</v>
      </c>
      <c r="B29" s="224" t="s">
        <v>189</v>
      </c>
      <c r="C29" s="138" t="s">
        <v>74</v>
      </c>
      <c r="D29" s="225">
        <v>0.81180555555555556</v>
      </c>
      <c r="E29" s="225" t="s">
        <v>84</v>
      </c>
      <c r="F29" s="225" t="s">
        <v>86</v>
      </c>
      <c r="G29" s="225" t="s">
        <v>170</v>
      </c>
      <c r="H29" s="138" t="s">
        <v>81</v>
      </c>
      <c r="I29" s="138" t="s">
        <v>76</v>
      </c>
      <c r="J29" s="138" t="s">
        <v>77</v>
      </c>
      <c r="K29" s="138" t="s">
        <v>77</v>
      </c>
      <c r="L29" s="138" t="s">
        <v>77</v>
      </c>
      <c r="M29" s="138" t="s">
        <v>77</v>
      </c>
      <c r="N29" s="138" t="s">
        <v>77</v>
      </c>
      <c r="O29" s="138" t="s">
        <v>77</v>
      </c>
      <c r="P29" s="138" t="s">
        <v>77</v>
      </c>
      <c r="Q29" s="258"/>
      <c r="R29" s="138" t="s">
        <v>80</v>
      </c>
      <c r="S29" s="138">
        <f>COUNTIF(Table4[[#This Row],[MACD saiu da regiao oposta?]:[BTC com estrutura semelhante?]],"Não")</f>
        <v>1</v>
      </c>
      <c r="T29" s="200" t="s">
        <v>123</v>
      </c>
    </row>
    <row r="30" spans="1:20" s="193" customFormat="1" ht="37" customHeight="1">
      <c r="A30" s="224">
        <v>45794</v>
      </c>
      <c r="B30" s="224" t="s">
        <v>189</v>
      </c>
      <c r="C30" s="138" t="s">
        <v>83</v>
      </c>
      <c r="D30" s="225">
        <v>0.81319444444444444</v>
      </c>
      <c r="E30" s="225" t="s">
        <v>84</v>
      </c>
      <c r="F30" s="225" t="s">
        <v>86</v>
      </c>
      <c r="G30" s="225" t="s">
        <v>170</v>
      </c>
      <c r="H30" s="138" t="s">
        <v>81</v>
      </c>
      <c r="I30" s="138" t="s">
        <v>82</v>
      </c>
      <c r="J30" s="138" t="s">
        <v>77</v>
      </c>
      <c r="K30" s="138" t="s">
        <v>77</v>
      </c>
      <c r="L30" s="138" t="s">
        <v>77</v>
      </c>
      <c r="M30" s="138" t="s">
        <v>77</v>
      </c>
      <c r="N30" s="138" t="s">
        <v>77</v>
      </c>
      <c r="O30" s="138" t="s">
        <v>77</v>
      </c>
      <c r="P30" s="138" t="s">
        <v>77</v>
      </c>
      <c r="Q30" s="258"/>
      <c r="R30" s="138" t="s">
        <v>80</v>
      </c>
      <c r="S30" s="138">
        <f>COUNTIF(Table4[[#This Row],[MACD saiu da regiao oposta?]:[BTC com estrutura semelhante?]],"Não")</f>
        <v>1</v>
      </c>
      <c r="T30" s="200" t="s">
        <v>124</v>
      </c>
    </row>
    <row r="31" spans="1:20" ht="37" customHeight="1">
      <c r="A31" s="224">
        <v>45795</v>
      </c>
      <c r="B31" s="224" t="s">
        <v>189</v>
      </c>
      <c r="C31" s="138" t="s">
        <v>83</v>
      </c>
      <c r="D31" s="225">
        <v>0.70138888888888884</v>
      </c>
      <c r="E31" s="225" t="s">
        <v>84</v>
      </c>
      <c r="F31" s="225" t="s">
        <v>85</v>
      </c>
      <c r="G31" s="225" t="s">
        <v>170</v>
      </c>
      <c r="H31" s="138" t="s">
        <v>81</v>
      </c>
      <c r="I31" s="138" t="s">
        <v>82</v>
      </c>
      <c r="J31" s="138" t="s">
        <v>77</v>
      </c>
      <c r="K31" s="138" t="s">
        <v>77</v>
      </c>
      <c r="L31" s="138" t="s">
        <v>77</v>
      </c>
      <c r="M31" s="138" t="s">
        <v>80</v>
      </c>
      <c r="N31" s="138" t="s">
        <v>77</v>
      </c>
      <c r="O31" s="138" t="s">
        <v>77</v>
      </c>
      <c r="P31" s="138" t="s">
        <v>77</v>
      </c>
      <c r="Q31" s="258"/>
      <c r="R31" s="138" t="s">
        <v>77</v>
      </c>
      <c r="S31" s="138">
        <f>COUNTIF(Table4[[#This Row],[MACD saiu da regiao oposta?]:[BTC com estrutura semelhante?]],"Não")</f>
        <v>1</v>
      </c>
      <c r="T31" s="223" t="s">
        <v>128</v>
      </c>
    </row>
    <row r="32" spans="1:20" ht="37" customHeight="1">
      <c r="A32" s="224">
        <v>45795</v>
      </c>
      <c r="B32" s="224" t="s">
        <v>189</v>
      </c>
      <c r="C32" s="138" t="s">
        <v>74</v>
      </c>
      <c r="D32" s="225">
        <v>0.70347222222222228</v>
      </c>
      <c r="E32" s="225" t="s">
        <v>107</v>
      </c>
      <c r="F32" s="225" t="s">
        <v>85</v>
      </c>
      <c r="G32" s="225" t="s">
        <v>170</v>
      </c>
      <c r="H32" s="138" t="s">
        <v>81</v>
      </c>
      <c r="I32" s="138" t="s">
        <v>76</v>
      </c>
      <c r="J32" s="138" t="s">
        <v>77</v>
      </c>
      <c r="K32" s="138" t="s">
        <v>77</v>
      </c>
      <c r="L32" s="138" t="s">
        <v>77</v>
      </c>
      <c r="M32" s="138" t="s">
        <v>77</v>
      </c>
      <c r="N32" s="138" t="s">
        <v>77</v>
      </c>
      <c r="O32" s="138" t="s">
        <v>77</v>
      </c>
      <c r="P32" s="138" t="s">
        <v>77</v>
      </c>
      <c r="Q32" s="258"/>
      <c r="R32" s="138" t="s">
        <v>77</v>
      </c>
      <c r="S32" s="138">
        <f>COUNTIF(Table4[[#This Row],[MACD saiu da regiao oposta?]:[BTC com estrutura semelhante?]],"Não")</f>
        <v>0</v>
      </c>
      <c r="T32" s="200" t="s">
        <v>129</v>
      </c>
    </row>
    <row r="33" spans="1:20" ht="37" customHeight="1">
      <c r="A33" s="224">
        <v>45795</v>
      </c>
      <c r="B33" s="224" t="s">
        <v>189</v>
      </c>
      <c r="C33" s="138" t="s">
        <v>79</v>
      </c>
      <c r="D33" s="225">
        <v>0.70902777777777781</v>
      </c>
      <c r="E33" s="225" t="s">
        <v>107</v>
      </c>
      <c r="F33" s="225" t="s">
        <v>85</v>
      </c>
      <c r="G33" s="225" t="s">
        <v>170</v>
      </c>
      <c r="H33" s="138" t="s">
        <v>81</v>
      </c>
      <c r="I33" s="138" t="s">
        <v>82</v>
      </c>
      <c r="J33" s="138" t="s">
        <v>77</v>
      </c>
      <c r="K33" s="138" t="s">
        <v>77</v>
      </c>
      <c r="L33" s="138" t="s">
        <v>77</v>
      </c>
      <c r="M33" s="138" t="s">
        <v>77</v>
      </c>
      <c r="N33" s="138" t="s">
        <v>77</v>
      </c>
      <c r="O33" s="138" t="s">
        <v>77</v>
      </c>
      <c r="P33" s="138" t="s">
        <v>77</v>
      </c>
      <c r="Q33" s="258"/>
      <c r="R33" s="138" t="s">
        <v>77</v>
      </c>
      <c r="S33" s="138">
        <f>COUNTIF(Table4[[#This Row],[MACD saiu da regiao oposta?]:[BTC com estrutura semelhante?]],"Não")</f>
        <v>0</v>
      </c>
      <c r="T33" s="223" t="s">
        <v>130</v>
      </c>
    </row>
    <row r="34" spans="1:20" ht="37" customHeight="1">
      <c r="A34" s="224">
        <v>45795</v>
      </c>
      <c r="B34" s="224" t="s">
        <v>189</v>
      </c>
      <c r="C34" s="138" t="s">
        <v>95</v>
      </c>
      <c r="D34" s="225">
        <v>0.76597222222222228</v>
      </c>
      <c r="E34" s="225" t="s">
        <v>111</v>
      </c>
      <c r="F34" s="225" t="s">
        <v>85</v>
      </c>
      <c r="G34" s="225" t="s">
        <v>169</v>
      </c>
      <c r="H34" s="138" t="s">
        <v>75</v>
      </c>
      <c r="I34" s="138" t="s">
        <v>76</v>
      </c>
      <c r="J34" s="138" t="s">
        <v>77</v>
      </c>
      <c r="K34" s="138" t="s">
        <v>77</v>
      </c>
      <c r="L34" s="138" t="s">
        <v>77</v>
      </c>
      <c r="M34" s="138" t="s">
        <v>77</v>
      </c>
      <c r="N34" s="138" t="s">
        <v>77</v>
      </c>
      <c r="O34" s="138" t="s">
        <v>77</v>
      </c>
      <c r="P34" s="138" t="s">
        <v>77</v>
      </c>
      <c r="Q34" s="258"/>
      <c r="R34" s="138" t="s">
        <v>77</v>
      </c>
      <c r="S34" s="138">
        <f>COUNTIF(Table4[[#This Row],[MACD saiu da regiao oposta?]:[BTC com estrutura semelhante?]],"Não")</f>
        <v>0</v>
      </c>
      <c r="T34" s="250" t="s">
        <v>131</v>
      </c>
    </row>
    <row r="35" spans="1:20" ht="38" customHeight="1">
      <c r="A35" s="224">
        <v>45795</v>
      </c>
      <c r="B35" s="224" t="s">
        <v>189</v>
      </c>
      <c r="C35" s="138" t="s">
        <v>95</v>
      </c>
      <c r="D35" s="225">
        <v>0.9243055555555556</v>
      </c>
      <c r="E35" s="225" t="s">
        <v>107</v>
      </c>
      <c r="F35" s="225" t="s">
        <v>86</v>
      </c>
      <c r="G35" s="225" t="s">
        <v>170</v>
      </c>
      <c r="H35" s="138" t="s">
        <v>81</v>
      </c>
      <c r="I35" s="138" t="s">
        <v>76</v>
      </c>
      <c r="J35" s="138" t="s">
        <v>77</v>
      </c>
      <c r="K35" s="138" t="s">
        <v>77</v>
      </c>
      <c r="L35" s="138" t="s">
        <v>77</v>
      </c>
      <c r="M35" s="138" t="s">
        <v>77</v>
      </c>
      <c r="N35" s="138" t="s">
        <v>77</v>
      </c>
      <c r="O35" s="138" t="s">
        <v>77</v>
      </c>
      <c r="P35" s="138" t="s">
        <v>77</v>
      </c>
      <c r="Q35" s="258"/>
      <c r="R35" s="138" t="s">
        <v>77</v>
      </c>
      <c r="S35" s="138">
        <f>COUNTIF(Table4[[#This Row],[MACD saiu da regiao oposta?]:[BTC com estrutura semelhante?]],"Não")</f>
        <v>0</v>
      </c>
      <c r="T35" s="200" t="s">
        <v>132</v>
      </c>
    </row>
    <row r="36" spans="1:20" ht="38" customHeight="1">
      <c r="A36" s="224">
        <v>45796</v>
      </c>
      <c r="B36" s="224" t="s">
        <v>189</v>
      </c>
      <c r="C36" s="138" t="s">
        <v>74</v>
      </c>
      <c r="D36" s="225">
        <v>0.64027777777777772</v>
      </c>
      <c r="E36" s="225" t="s">
        <v>84</v>
      </c>
      <c r="F36" s="225" t="s">
        <v>85</v>
      </c>
      <c r="G36" s="225" t="s">
        <v>170</v>
      </c>
      <c r="H36" s="138" t="s">
        <v>81</v>
      </c>
      <c r="I36" s="138" t="s">
        <v>76</v>
      </c>
      <c r="J36" s="138" t="s">
        <v>77</v>
      </c>
      <c r="K36" s="138" t="s">
        <v>77</v>
      </c>
      <c r="L36" s="138" t="s">
        <v>77</v>
      </c>
      <c r="M36" s="138" t="s">
        <v>77</v>
      </c>
      <c r="N36" s="138" t="s">
        <v>77</v>
      </c>
      <c r="O36" s="138" t="s">
        <v>77</v>
      </c>
      <c r="P36" s="138" t="s">
        <v>77</v>
      </c>
      <c r="Q36" s="258"/>
      <c r="R36" s="138" t="s">
        <v>77</v>
      </c>
      <c r="S36" s="138">
        <f>COUNTIF(Table4[[#This Row],[MACD saiu da regiao oposta?]:[BTC com estrutura semelhante?]],"Não")</f>
        <v>0</v>
      </c>
      <c r="T36" s="223" t="s">
        <v>134</v>
      </c>
    </row>
    <row r="37" spans="1:20" ht="38" customHeight="1">
      <c r="A37" s="224">
        <v>45796</v>
      </c>
      <c r="B37" s="224" t="s">
        <v>189</v>
      </c>
      <c r="C37" s="138" t="s">
        <v>74</v>
      </c>
      <c r="D37" s="225">
        <v>0.76875000000000004</v>
      </c>
      <c r="E37" s="225" t="s">
        <v>84</v>
      </c>
      <c r="F37" s="225" t="s">
        <v>85</v>
      </c>
      <c r="G37" s="225" t="s">
        <v>170</v>
      </c>
      <c r="H37" s="138" t="s">
        <v>81</v>
      </c>
      <c r="I37" s="138" t="s">
        <v>76</v>
      </c>
      <c r="J37" s="138" t="s">
        <v>77</v>
      </c>
      <c r="K37" s="138" t="s">
        <v>77</v>
      </c>
      <c r="L37" s="138" t="s">
        <v>77</v>
      </c>
      <c r="M37" s="138" t="s">
        <v>77</v>
      </c>
      <c r="N37" s="138" t="s">
        <v>77</v>
      </c>
      <c r="O37" s="138" t="s">
        <v>77</v>
      </c>
      <c r="P37" s="138" t="s">
        <v>77</v>
      </c>
      <c r="Q37" s="258"/>
      <c r="R37" s="138" t="s">
        <v>77</v>
      </c>
      <c r="S37" s="138">
        <f>COUNTIF(Table4[[#This Row],[MACD saiu da regiao oposta?]:[BTC com estrutura semelhante?]],"Não")</f>
        <v>0</v>
      </c>
      <c r="T37" s="223" t="s">
        <v>135</v>
      </c>
    </row>
    <row r="38" spans="1:20" ht="73" customHeight="1">
      <c r="A38" s="224">
        <v>45796</v>
      </c>
      <c r="B38" s="224" t="s">
        <v>189</v>
      </c>
      <c r="C38" s="138" t="s">
        <v>78</v>
      </c>
      <c r="D38" s="225">
        <v>0.79722222222222228</v>
      </c>
      <c r="E38" s="225" t="s">
        <v>84</v>
      </c>
      <c r="F38" s="225" t="s">
        <v>86</v>
      </c>
      <c r="G38" s="225" t="s">
        <v>169</v>
      </c>
      <c r="H38" s="138" t="s">
        <v>75</v>
      </c>
      <c r="I38" s="138" t="s">
        <v>76</v>
      </c>
      <c r="J38" s="138" t="s">
        <v>77</v>
      </c>
      <c r="K38" s="138" t="s">
        <v>77</v>
      </c>
      <c r="L38" s="138" t="s">
        <v>77</v>
      </c>
      <c r="M38" s="138" t="s">
        <v>77</v>
      </c>
      <c r="N38" s="138" t="s">
        <v>77</v>
      </c>
      <c r="O38" s="138" t="s">
        <v>77</v>
      </c>
      <c r="P38" s="138" t="s">
        <v>80</v>
      </c>
      <c r="Q38" s="258"/>
      <c r="R38" s="138" t="s">
        <v>77</v>
      </c>
      <c r="S38" s="138">
        <f>COUNTIF(Table4[[#This Row],[MACD saiu da regiao oposta?]:[BTC com estrutura semelhante?]],"Não")</f>
        <v>1</v>
      </c>
      <c r="T38" s="223" t="s">
        <v>136</v>
      </c>
    </row>
    <row r="39" spans="1:20" ht="55" customHeight="1">
      <c r="A39" s="224">
        <v>45796</v>
      </c>
      <c r="B39" s="224" t="s">
        <v>189</v>
      </c>
      <c r="C39" s="138" t="s">
        <v>78</v>
      </c>
      <c r="D39" s="225">
        <v>0.83750000000000002</v>
      </c>
      <c r="E39" s="225" t="s">
        <v>84</v>
      </c>
      <c r="F39" s="225" t="s">
        <v>86</v>
      </c>
      <c r="G39" s="225" t="s">
        <v>169</v>
      </c>
      <c r="H39" s="138" t="s">
        <v>75</v>
      </c>
      <c r="I39" s="138" t="s">
        <v>76</v>
      </c>
      <c r="J39" s="138" t="s">
        <v>77</v>
      </c>
      <c r="K39" s="138" t="s">
        <v>77</v>
      </c>
      <c r="L39" s="138" t="s">
        <v>77</v>
      </c>
      <c r="M39" s="138" t="s">
        <v>77</v>
      </c>
      <c r="N39" s="138" t="s">
        <v>77</v>
      </c>
      <c r="O39" s="138" t="s">
        <v>77</v>
      </c>
      <c r="P39" s="138" t="s">
        <v>77</v>
      </c>
      <c r="Q39" s="258"/>
      <c r="R39" s="138" t="s">
        <v>77</v>
      </c>
      <c r="S39" s="138">
        <f>COUNTIF(Table4[[#This Row],[MACD saiu da regiao oposta?]:[BTC com estrutura semelhante?]],"Não")</f>
        <v>0</v>
      </c>
      <c r="T39" s="223" t="s">
        <v>137</v>
      </c>
    </row>
    <row r="40" spans="1:20" s="193" customFormat="1" ht="26" customHeight="1">
      <c r="A40" s="224">
        <v>45797</v>
      </c>
      <c r="B40" s="224" t="s">
        <v>189</v>
      </c>
      <c r="C40" s="138" t="s">
        <v>78</v>
      </c>
      <c r="D40" s="225">
        <v>0.52083333333333337</v>
      </c>
      <c r="E40" s="225" t="s">
        <v>84</v>
      </c>
      <c r="F40" s="225" t="s">
        <v>85</v>
      </c>
      <c r="G40" s="225" t="s">
        <v>169</v>
      </c>
      <c r="H40" s="138" t="s">
        <v>75</v>
      </c>
      <c r="I40" s="138" t="s">
        <v>76</v>
      </c>
      <c r="J40" s="138" t="s">
        <v>77</v>
      </c>
      <c r="K40" s="138" t="s">
        <v>77</v>
      </c>
      <c r="L40" s="138" t="s">
        <v>77</v>
      </c>
      <c r="M40" s="138" t="s">
        <v>77</v>
      </c>
      <c r="N40" s="138" t="s">
        <v>77</v>
      </c>
      <c r="O40" s="138" t="s">
        <v>77</v>
      </c>
      <c r="P40" s="138" t="s">
        <v>77</v>
      </c>
      <c r="Q40" s="258"/>
      <c r="R40" s="138" t="s">
        <v>77</v>
      </c>
      <c r="S40" s="138">
        <f>COUNTIF(Table4[[#This Row],[MACD saiu da regiao oposta?]:[BTC com estrutura semelhante?]],"Não")</f>
        <v>0</v>
      </c>
      <c r="T40" s="200" t="s">
        <v>153</v>
      </c>
    </row>
    <row r="41" spans="1:20" s="193" customFormat="1" ht="26" customHeight="1">
      <c r="A41" s="224">
        <v>45797</v>
      </c>
      <c r="B41" s="224" t="s">
        <v>189</v>
      </c>
      <c r="C41" s="138" t="s">
        <v>78</v>
      </c>
      <c r="D41" s="225">
        <v>0.61458333333333337</v>
      </c>
      <c r="E41" s="225" t="s">
        <v>84</v>
      </c>
      <c r="F41" s="225" t="s">
        <v>85</v>
      </c>
      <c r="G41" s="225" t="s">
        <v>169</v>
      </c>
      <c r="H41" s="138" t="s">
        <v>75</v>
      </c>
      <c r="I41" s="138" t="s">
        <v>76</v>
      </c>
      <c r="J41" s="138" t="s">
        <v>77</v>
      </c>
      <c r="K41" s="138" t="s">
        <v>77</v>
      </c>
      <c r="L41" s="138" t="s">
        <v>77</v>
      </c>
      <c r="M41" s="138" t="s">
        <v>77</v>
      </c>
      <c r="N41" s="138" t="s">
        <v>77</v>
      </c>
      <c r="O41" s="138" t="s">
        <v>77</v>
      </c>
      <c r="P41" s="138" t="s">
        <v>77</v>
      </c>
      <c r="Q41" s="258"/>
      <c r="R41" s="138" t="s">
        <v>77</v>
      </c>
      <c r="S41" s="138">
        <f>COUNTIF(Table4[[#This Row],[MACD saiu da regiao oposta?]:[BTC com estrutura semelhante?]],"Não")</f>
        <v>0</v>
      </c>
      <c r="T41" s="200" t="s">
        <v>154</v>
      </c>
    </row>
    <row r="42" spans="1:20" ht="56" customHeight="1">
      <c r="A42" s="224">
        <v>45797</v>
      </c>
      <c r="B42" s="224" t="s">
        <v>189</v>
      </c>
      <c r="C42" s="138" t="s">
        <v>74</v>
      </c>
      <c r="D42" s="225">
        <v>0.6645833333333333</v>
      </c>
      <c r="E42" s="225" t="s">
        <v>84</v>
      </c>
      <c r="F42" s="225" t="s">
        <v>86</v>
      </c>
      <c r="G42" s="225" t="s">
        <v>170</v>
      </c>
      <c r="H42" s="138" t="s">
        <v>81</v>
      </c>
      <c r="I42" s="138" t="s">
        <v>82</v>
      </c>
      <c r="J42" s="138" t="s">
        <v>77</v>
      </c>
      <c r="K42" s="138" t="s">
        <v>77</v>
      </c>
      <c r="L42" s="138" t="s">
        <v>77</v>
      </c>
      <c r="M42" s="138" t="s">
        <v>80</v>
      </c>
      <c r="N42" s="138" t="s">
        <v>77</v>
      </c>
      <c r="O42" s="138" t="s">
        <v>77</v>
      </c>
      <c r="P42" s="138" t="s">
        <v>77</v>
      </c>
      <c r="Q42" s="258"/>
      <c r="R42" s="138" t="s">
        <v>77</v>
      </c>
      <c r="S42" s="138">
        <f>COUNTIF(Table4[[#This Row],[MACD saiu da regiao oposta?]:[BTC com estrutura semelhante?]],"Não")</f>
        <v>1</v>
      </c>
      <c r="T42" s="223" t="s">
        <v>155</v>
      </c>
    </row>
    <row r="43" spans="1:20" ht="71" customHeight="1">
      <c r="A43" s="224">
        <v>45797</v>
      </c>
      <c r="B43" s="224" t="s">
        <v>189</v>
      </c>
      <c r="C43" s="138" t="s">
        <v>78</v>
      </c>
      <c r="D43" s="225">
        <v>0.7</v>
      </c>
      <c r="E43" s="225" t="s">
        <v>109</v>
      </c>
      <c r="F43" s="225" t="s">
        <v>86</v>
      </c>
      <c r="G43" s="225" t="s">
        <v>169</v>
      </c>
      <c r="H43" s="138" t="s">
        <v>75</v>
      </c>
      <c r="I43" s="138" t="s">
        <v>76</v>
      </c>
      <c r="J43" s="138" t="s">
        <v>77</v>
      </c>
      <c r="K43" s="138" t="s">
        <v>77</v>
      </c>
      <c r="L43" s="138" t="s">
        <v>77</v>
      </c>
      <c r="M43" s="138" t="s">
        <v>80</v>
      </c>
      <c r="N43" s="138" t="s">
        <v>77</v>
      </c>
      <c r="O43" s="138" t="s">
        <v>77</v>
      </c>
      <c r="P43" s="138" t="s">
        <v>77</v>
      </c>
      <c r="Q43" s="258"/>
      <c r="R43" s="138" t="s">
        <v>77</v>
      </c>
      <c r="S43" s="138">
        <f>COUNTIF(Table4[[#This Row],[MACD saiu da regiao oposta?]:[BTC com estrutura semelhante?]],"Não")</f>
        <v>1</v>
      </c>
      <c r="T43" s="223" t="s">
        <v>156</v>
      </c>
    </row>
    <row r="44" spans="1:20" ht="33" customHeight="1">
      <c r="A44" s="224">
        <v>45798</v>
      </c>
      <c r="B44" s="224" t="s">
        <v>191</v>
      </c>
      <c r="C44" s="138" t="s">
        <v>95</v>
      </c>
      <c r="D44" s="225">
        <v>0.44791666666666669</v>
      </c>
      <c r="E44" s="225" t="s">
        <v>84</v>
      </c>
      <c r="F44" s="225" t="s">
        <v>85</v>
      </c>
      <c r="G44" s="225" t="s">
        <v>169</v>
      </c>
      <c r="H44" s="138" t="s">
        <v>75</v>
      </c>
      <c r="I44" s="138" t="s">
        <v>82</v>
      </c>
      <c r="J44" s="138" t="s">
        <v>77</v>
      </c>
      <c r="K44" s="138" t="s">
        <v>77</v>
      </c>
      <c r="L44" s="138" t="s">
        <v>77</v>
      </c>
      <c r="M44" s="138" t="s">
        <v>77</v>
      </c>
      <c r="N44" s="138" t="s">
        <v>80</v>
      </c>
      <c r="O44" s="138" t="s">
        <v>80</v>
      </c>
      <c r="P44" s="138" t="s">
        <v>77</v>
      </c>
      <c r="Q44" s="138" t="s">
        <v>80</v>
      </c>
      <c r="R44" s="138" t="s">
        <v>77</v>
      </c>
      <c r="S44" s="138">
        <f>COUNTIF(Table4[[#This Row],[MACD saiu da regiao oposta?]:[BTC com estrutura semelhante?]],"Não")</f>
        <v>3</v>
      </c>
      <c r="T44" s="200" t="s">
        <v>160</v>
      </c>
    </row>
    <row r="45" spans="1:20" ht="33" customHeight="1">
      <c r="A45" s="224">
        <v>45798</v>
      </c>
      <c r="B45" s="224" t="s">
        <v>191</v>
      </c>
      <c r="C45" s="138" t="s">
        <v>95</v>
      </c>
      <c r="D45" s="225">
        <v>0.45277777777777778</v>
      </c>
      <c r="E45" s="225" t="s">
        <v>107</v>
      </c>
      <c r="F45" s="225" t="s">
        <v>85</v>
      </c>
      <c r="G45" s="225" t="s">
        <v>169</v>
      </c>
      <c r="H45" s="138" t="s">
        <v>75</v>
      </c>
      <c r="I45" s="138" t="s">
        <v>82</v>
      </c>
      <c r="J45" s="138" t="s">
        <v>77</v>
      </c>
      <c r="K45" s="138" t="s">
        <v>77</v>
      </c>
      <c r="L45" s="138" t="s">
        <v>77</v>
      </c>
      <c r="M45" s="138" t="s">
        <v>77</v>
      </c>
      <c r="N45" s="138" t="s">
        <v>80</v>
      </c>
      <c r="O45" s="138" t="s">
        <v>77</v>
      </c>
      <c r="P45" s="138" t="s">
        <v>77</v>
      </c>
      <c r="Q45" s="138" t="s">
        <v>80</v>
      </c>
      <c r="R45" s="138" t="s">
        <v>77</v>
      </c>
      <c r="S45" s="138">
        <f>COUNTIF(Table4[[#This Row],[MACD saiu da regiao oposta?]:[BTC com estrutura semelhante?]],"Não")</f>
        <v>2</v>
      </c>
      <c r="T45" s="200" t="s">
        <v>161</v>
      </c>
    </row>
    <row r="46" spans="1:20" ht="33" customHeight="1">
      <c r="A46" s="224">
        <v>45798</v>
      </c>
      <c r="B46" s="224" t="s">
        <v>191</v>
      </c>
      <c r="C46" s="138" t="s">
        <v>95</v>
      </c>
      <c r="D46" s="225">
        <v>0.45624999999999999</v>
      </c>
      <c r="E46" s="225" t="s">
        <v>109</v>
      </c>
      <c r="F46" s="225" t="s">
        <v>85</v>
      </c>
      <c r="G46" s="225" t="s">
        <v>169</v>
      </c>
      <c r="H46" s="138" t="s">
        <v>75</v>
      </c>
      <c r="I46" s="138" t="s">
        <v>82</v>
      </c>
      <c r="J46" s="138" t="s">
        <v>77</v>
      </c>
      <c r="K46" s="138" t="s">
        <v>77</v>
      </c>
      <c r="L46" s="138" t="s">
        <v>77</v>
      </c>
      <c r="M46" s="138" t="s">
        <v>77</v>
      </c>
      <c r="N46" s="138" t="s">
        <v>80</v>
      </c>
      <c r="O46" s="138" t="s">
        <v>77</v>
      </c>
      <c r="P46" s="138" t="s">
        <v>77</v>
      </c>
      <c r="Q46" s="138" t="s">
        <v>80</v>
      </c>
      <c r="R46" s="138" t="s">
        <v>77</v>
      </c>
      <c r="S46" s="138">
        <f>COUNTIF(Table4[[#This Row],[MACD saiu da regiao oposta?]:[BTC com estrutura semelhante?]],"Não")</f>
        <v>2</v>
      </c>
      <c r="T46" s="223" t="s">
        <v>162</v>
      </c>
    </row>
    <row r="47" spans="1:20" ht="30" customHeight="1">
      <c r="A47" s="224">
        <v>45798</v>
      </c>
      <c r="B47" s="224" t="s">
        <v>191</v>
      </c>
      <c r="C47" s="138" t="s">
        <v>74</v>
      </c>
      <c r="D47" s="225">
        <v>0.46666666666666667</v>
      </c>
      <c r="E47" s="225" t="s">
        <v>110</v>
      </c>
      <c r="F47" s="225" t="s">
        <v>85</v>
      </c>
      <c r="G47" s="225" t="s">
        <v>169</v>
      </c>
      <c r="H47" s="138" t="s">
        <v>75</v>
      </c>
      <c r="I47" s="138" t="s">
        <v>82</v>
      </c>
      <c r="J47" s="138" t="s">
        <v>77</v>
      </c>
      <c r="K47" s="138" t="s">
        <v>77</v>
      </c>
      <c r="L47" s="138" t="s">
        <v>80</v>
      </c>
      <c r="M47" s="138" t="s">
        <v>77</v>
      </c>
      <c r="N47" s="138" t="s">
        <v>80</v>
      </c>
      <c r="O47" s="138" t="s">
        <v>80</v>
      </c>
      <c r="P47" s="138" t="s">
        <v>77</v>
      </c>
      <c r="Q47" s="138" t="s">
        <v>80</v>
      </c>
      <c r="R47" s="138" t="s">
        <v>77</v>
      </c>
      <c r="S47" s="138">
        <f>COUNTIF(Table4[[#This Row],[MACD saiu da regiao oposta?]:[BTC com estrutura semelhante?]],"Não")</f>
        <v>4</v>
      </c>
      <c r="T47" s="200" t="s">
        <v>164</v>
      </c>
    </row>
    <row r="48" spans="1:20" ht="30" customHeight="1">
      <c r="A48" s="224">
        <v>45798</v>
      </c>
      <c r="B48" s="224" t="s">
        <v>191</v>
      </c>
      <c r="C48" s="138" t="s">
        <v>78</v>
      </c>
      <c r="D48" s="225">
        <v>0.57499999999999996</v>
      </c>
      <c r="E48" s="225" t="s">
        <v>111</v>
      </c>
      <c r="F48" s="225" t="s">
        <v>85</v>
      </c>
      <c r="G48" s="225" t="s">
        <v>169</v>
      </c>
      <c r="H48" s="138" t="s">
        <v>75</v>
      </c>
      <c r="I48" s="138" t="s">
        <v>82</v>
      </c>
      <c r="J48" s="138" t="s">
        <v>77</v>
      </c>
      <c r="K48" s="138" t="s">
        <v>77</v>
      </c>
      <c r="L48" s="138" t="s">
        <v>80</v>
      </c>
      <c r="M48" s="138" t="s">
        <v>80</v>
      </c>
      <c r="N48" s="138" t="s">
        <v>80</v>
      </c>
      <c r="O48" s="138" t="s">
        <v>80</v>
      </c>
      <c r="P48" s="138" t="s">
        <v>77</v>
      </c>
      <c r="Q48" s="138" t="s">
        <v>80</v>
      </c>
      <c r="R48" s="138" t="s">
        <v>77</v>
      </c>
      <c r="S48" s="138">
        <f>COUNTIF(Table4[[#This Row],[MACD saiu da regiao oposta?]:[BTC com estrutura semelhante?]],"Não")</f>
        <v>5</v>
      </c>
      <c r="T48" s="200" t="s">
        <v>166</v>
      </c>
    </row>
    <row r="49" spans="1:20" ht="30" customHeight="1">
      <c r="A49" s="224">
        <v>45798</v>
      </c>
      <c r="B49" s="224" t="s">
        <v>191</v>
      </c>
      <c r="C49" s="138" t="s">
        <v>74</v>
      </c>
      <c r="D49" s="225">
        <v>0.62152777777777779</v>
      </c>
      <c r="E49" s="225" t="s">
        <v>163</v>
      </c>
      <c r="F49" s="225" t="s">
        <v>85</v>
      </c>
      <c r="G49" s="225" t="s">
        <v>170</v>
      </c>
      <c r="H49" s="138" t="s">
        <v>81</v>
      </c>
      <c r="I49" s="138" t="s">
        <v>82</v>
      </c>
      <c r="J49" s="138" t="s">
        <v>77</v>
      </c>
      <c r="K49" s="138" t="s">
        <v>77</v>
      </c>
      <c r="L49" s="138" t="s">
        <v>80</v>
      </c>
      <c r="M49" s="138" t="s">
        <v>77</v>
      </c>
      <c r="N49" s="138" t="s">
        <v>80</v>
      </c>
      <c r="O49" s="138" t="s">
        <v>80</v>
      </c>
      <c r="P49" s="138" t="s">
        <v>77</v>
      </c>
      <c r="Q49" s="138" t="s">
        <v>80</v>
      </c>
      <c r="R49" s="138" t="s">
        <v>77</v>
      </c>
      <c r="S49" s="138">
        <f>COUNTIF(Table4[[#This Row],[MACD saiu da regiao oposta?]:[BTC com estrutura semelhante?]],"Não")</f>
        <v>4</v>
      </c>
      <c r="T49" s="200" t="s">
        <v>167</v>
      </c>
    </row>
    <row r="50" spans="1:20" ht="43" customHeight="1">
      <c r="A50" s="224">
        <v>45799</v>
      </c>
      <c r="B50" s="224" t="s">
        <v>191</v>
      </c>
      <c r="C50" s="138" t="s">
        <v>78</v>
      </c>
      <c r="D50" s="225">
        <v>0.61527777777777781</v>
      </c>
      <c r="E50" s="225" t="s">
        <v>84</v>
      </c>
      <c r="F50" s="225" t="s">
        <v>85</v>
      </c>
      <c r="G50" s="225" t="s">
        <v>171</v>
      </c>
      <c r="H50" s="138" t="s">
        <v>81</v>
      </c>
      <c r="I50" s="138" t="s">
        <v>76</v>
      </c>
      <c r="J50" s="138" t="s">
        <v>77</v>
      </c>
      <c r="K50" s="138" t="s">
        <v>77</v>
      </c>
      <c r="L50" s="138" t="s">
        <v>77</v>
      </c>
      <c r="M50" s="138" t="s">
        <v>77</v>
      </c>
      <c r="N50" s="138" t="s">
        <v>77</v>
      </c>
      <c r="O50" s="138" t="s">
        <v>77</v>
      </c>
      <c r="P50" s="138" t="s">
        <v>77</v>
      </c>
      <c r="Q50" s="138" t="s">
        <v>77</v>
      </c>
      <c r="R50" s="138" t="s">
        <v>77</v>
      </c>
      <c r="S50" s="138">
        <f>COUNTIF(Table4[[#This Row],[MACD saiu da regiao oposta?]:[BTC com estrutura semelhante?]],"Não")</f>
        <v>0</v>
      </c>
      <c r="T50" s="223" t="s">
        <v>184</v>
      </c>
    </row>
    <row r="51" spans="1:20" ht="43" customHeight="1">
      <c r="A51" s="224">
        <v>45799</v>
      </c>
      <c r="B51" s="224" t="s">
        <v>191</v>
      </c>
      <c r="C51" s="138" t="s">
        <v>78</v>
      </c>
      <c r="D51" s="225">
        <v>0.72222222222222221</v>
      </c>
      <c r="E51" s="225" t="s">
        <v>84</v>
      </c>
      <c r="F51" s="225" t="s">
        <v>85</v>
      </c>
      <c r="G51" s="225" t="s">
        <v>170</v>
      </c>
      <c r="H51" s="138" t="s">
        <v>81</v>
      </c>
      <c r="I51" s="138" t="s">
        <v>82</v>
      </c>
      <c r="J51" s="138" t="s">
        <v>77</v>
      </c>
      <c r="K51" s="138" t="s">
        <v>77</v>
      </c>
      <c r="L51" s="138" t="s">
        <v>77</v>
      </c>
      <c r="M51" s="138" t="s">
        <v>77</v>
      </c>
      <c r="N51" s="138" t="s">
        <v>77</v>
      </c>
      <c r="O51" s="138" t="s">
        <v>77</v>
      </c>
      <c r="P51" s="138" t="s">
        <v>77</v>
      </c>
      <c r="Q51" s="138" t="s">
        <v>77</v>
      </c>
      <c r="R51" s="138" t="s">
        <v>77</v>
      </c>
      <c r="S51" s="138">
        <f>COUNTIF(Table4[[#This Row],[MACD saiu da regiao oposta?]:[BTC com estrutura semelhante?]],"Não")</f>
        <v>0</v>
      </c>
      <c r="T51" s="223" t="s">
        <v>185</v>
      </c>
    </row>
    <row r="52" spans="1:20" ht="43" customHeight="1">
      <c r="A52" s="224">
        <v>45799</v>
      </c>
      <c r="B52" s="224" t="s">
        <v>191</v>
      </c>
      <c r="C52" s="138" t="s">
        <v>78</v>
      </c>
      <c r="D52" s="225">
        <v>0.73263888888888884</v>
      </c>
      <c r="E52" s="225" t="s">
        <v>109</v>
      </c>
      <c r="F52" s="225" t="s">
        <v>85</v>
      </c>
      <c r="G52" s="225" t="s">
        <v>170</v>
      </c>
      <c r="H52" s="138" t="s">
        <v>81</v>
      </c>
      <c r="I52" s="138" t="s">
        <v>82</v>
      </c>
      <c r="J52" s="138" t="s">
        <v>77</v>
      </c>
      <c r="K52" s="138" t="s">
        <v>77</v>
      </c>
      <c r="L52" s="138" t="s">
        <v>77</v>
      </c>
      <c r="M52" s="138" t="s">
        <v>77</v>
      </c>
      <c r="N52" s="138" t="s">
        <v>77</v>
      </c>
      <c r="O52" s="138" t="s">
        <v>77</v>
      </c>
      <c r="P52" s="138" t="s">
        <v>77</v>
      </c>
      <c r="Q52" s="138" t="s">
        <v>77</v>
      </c>
      <c r="R52" s="138" t="s">
        <v>77</v>
      </c>
      <c r="S52" s="138">
        <f>COUNTIF(Table4[[#This Row],[MACD saiu da regiao oposta?]:[BTC com estrutura semelhante?]],"Não")</f>
        <v>0</v>
      </c>
      <c r="T52" s="223" t="s">
        <v>186</v>
      </c>
    </row>
    <row r="53" spans="1:20" ht="43" customHeight="1">
      <c r="A53" s="224">
        <v>45799</v>
      </c>
      <c r="B53" s="224" t="s">
        <v>191</v>
      </c>
      <c r="C53" s="138" t="s">
        <v>74</v>
      </c>
      <c r="D53" s="225">
        <v>0.8256944444444444</v>
      </c>
      <c r="E53" s="225" t="s">
        <v>84</v>
      </c>
      <c r="F53" s="225" t="s">
        <v>86</v>
      </c>
      <c r="G53" s="225" t="s">
        <v>171</v>
      </c>
      <c r="H53" s="138" t="s">
        <v>81</v>
      </c>
      <c r="I53" s="138" t="s">
        <v>76</v>
      </c>
      <c r="J53" s="138" t="s">
        <v>77</v>
      </c>
      <c r="K53" s="138" t="s">
        <v>77</v>
      </c>
      <c r="L53" s="138" t="s">
        <v>77</v>
      </c>
      <c r="M53" s="138" t="s">
        <v>77</v>
      </c>
      <c r="N53" s="138" t="s">
        <v>77</v>
      </c>
      <c r="O53" s="138" t="s">
        <v>80</v>
      </c>
      <c r="P53" s="138" t="s">
        <v>77</v>
      </c>
      <c r="Q53" s="138" t="s">
        <v>77</v>
      </c>
      <c r="R53" s="138" t="s">
        <v>77</v>
      </c>
      <c r="S53" s="138">
        <f>COUNTIF(Table4[[#This Row],[MACD saiu da regiao oposta?]:[BTC com estrutura semelhante?]],"Não")</f>
        <v>1</v>
      </c>
      <c r="T53" s="223" t="s">
        <v>187</v>
      </c>
    </row>
    <row r="54" spans="1:20" ht="32" customHeight="1">
      <c r="A54" s="224">
        <v>45800</v>
      </c>
      <c r="B54" s="224" t="s">
        <v>189</v>
      </c>
      <c r="C54" s="138" t="s">
        <v>78</v>
      </c>
      <c r="D54" s="225">
        <v>0.65833333333333333</v>
      </c>
      <c r="E54" s="225" t="s">
        <v>84</v>
      </c>
      <c r="F54" s="225" t="s">
        <v>85</v>
      </c>
      <c r="G54" s="225" t="s">
        <v>170</v>
      </c>
      <c r="H54" s="138" t="s">
        <v>81</v>
      </c>
      <c r="I54" s="138" t="s">
        <v>82</v>
      </c>
      <c r="J54" s="138" t="s">
        <v>77</v>
      </c>
      <c r="K54" s="138" t="s">
        <v>77</v>
      </c>
      <c r="L54" s="138" t="s">
        <v>77</v>
      </c>
      <c r="M54" s="138" t="s">
        <v>77</v>
      </c>
      <c r="N54" s="138" t="s">
        <v>77</v>
      </c>
      <c r="O54" s="138" t="s">
        <v>77</v>
      </c>
      <c r="P54" s="138" t="s">
        <v>77</v>
      </c>
      <c r="Q54" s="138" t="s">
        <v>77</v>
      </c>
      <c r="R54" s="138" t="s">
        <v>77</v>
      </c>
      <c r="S54" s="138">
        <f>COUNTIF(Table4[[#This Row],[MACD saiu da regiao oposta?]:[BTC com estrutura semelhante?]],"Não")</f>
        <v>0</v>
      </c>
      <c r="T54" s="200" t="s">
        <v>174</v>
      </c>
    </row>
    <row r="55" spans="1:20" ht="32" customHeight="1">
      <c r="A55" s="224">
        <v>45800</v>
      </c>
      <c r="B55" s="224" t="s">
        <v>189</v>
      </c>
      <c r="C55" s="138" t="s">
        <v>78</v>
      </c>
      <c r="D55" s="225">
        <v>0.73263888888888884</v>
      </c>
      <c r="E55" s="225" t="s">
        <v>107</v>
      </c>
      <c r="F55" s="225" t="s">
        <v>85</v>
      </c>
      <c r="G55" s="225" t="s">
        <v>170</v>
      </c>
      <c r="H55" s="138" t="s">
        <v>81</v>
      </c>
      <c r="I55" s="138" t="s">
        <v>76</v>
      </c>
      <c r="J55" s="138" t="s">
        <v>77</v>
      </c>
      <c r="K55" s="138" t="s">
        <v>77</v>
      </c>
      <c r="L55" s="138" t="s">
        <v>77</v>
      </c>
      <c r="M55" s="138" t="s">
        <v>77</v>
      </c>
      <c r="N55" s="138" t="s">
        <v>77</v>
      </c>
      <c r="O55" s="138" t="s">
        <v>77</v>
      </c>
      <c r="P55" s="138" t="s">
        <v>77</v>
      </c>
      <c r="Q55" s="138" t="s">
        <v>77</v>
      </c>
      <c r="R55" s="138" t="s">
        <v>77</v>
      </c>
      <c r="S55" s="138">
        <f>COUNTIF(Table4[[#This Row],[MACD saiu da regiao oposta?]:[BTC com estrutura semelhante?]],"Não")</f>
        <v>0</v>
      </c>
      <c r="T55" s="200" t="s">
        <v>175</v>
      </c>
    </row>
    <row r="56" spans="1:20" ht="32" customHeight="1">
      <c r="A56" s="224">
        <v>45800</v>
      </c>
      <c r="B56" s="224" t="s">
        <v>189</v>
      </c>
      <c r="C56" s="138" t="s">
        <v>78</v>
      </c>
      <c r="D56" s="225">
        <v>0.7583333333333333</v>
      </c>
      <c r="E56" s="225" t="s">
        <v>84</v>
      </c>
      <c r="F56" s="225" t="s">
        <v>86</v>
      </c>
      <c r="G56" s="225" t="s">
        <v>170</v>
      </c>
      <c r="H56" s="138" t="s">
        <v>81</v>
      </c>
      <c r="I56" s="138" t="s">
        <v>82</v>
      </c>
      <c r="J56" s="138" t="s">
        <v>80</v>
      </c>
      <c r="K56" s="138" t="s">
        <v>77</v>
      </c>
      <c r="L56" s="138" t="s">
        <v>80</v>
      </c>
      <c r="M56" s="138" t="s">
        <v>80</v>
      </c>
      <c r="N56" s="138" t="s">
        <v>80</v>
      </c>
      <c r="O56" s="138" t="s">
        <v>80</v>
      </c>
      <c r="P56" s="138" t="s">
        <v>77</v>
      </c>
      <c r="Q56" s="138" t="s">
        <v>80</v>
      </c>
      <c r="R56" s="138" t="s">
        <v>77</v>
      </c>
      <c r="S56" s="138">
        <f>COUNTIF(Table4[[#This Row],[MACD saiu da regiao oposta?]:[BTC com estrutura semelhante?]],"Não")</f>
        <v>6</v>
      </c>
      <c r="T56" s="200" t="s">
        <v>176</v>
      </c>
    </row>
    <row r="57" spans="1:20" ht="37" customHeight="1">
      <c r="A57" s="224">
        <v>45800</v>
      </c>
      <c r="B57" s="224" t="s">
        <v>189</v>
      </c>
      <c r="C57" s="138" t="s">
        <v>78</v>
      </c>
      <c r="D57" s="225">
        <v>0.82430555555555551</v>
      </c>
      <c r="E57" s="225" t="s">
        <v>109</v>
      </c>
      <c r="F57" s="225" t="s">
        <v>86</v>
      </c>
      <c r="G57" s="225" t="s">
        <v>170</v>
      </c>
      <c r="H57" s="138" t="s">
        <v>81</v>
      </c>
      <c r="I57" s="138" t="s">
        <v>76</v>
      </c>
      <c r="J57" s="138" t="s">
        <v>77</v>
      </c>
      <c r="K57" s="138" t="s">
        <v>77</v>
      </c>
      <c r="L57" s="138" t="s">
        <v>77</v>
      </c>
      <c r="M57" s="138" t="s">
        <v>77</v>
      </c>
      <c r="N57" s="138" t="s">
        <v>77</v>
      </c>
      <c r="O57" s="138" t="s">
        <v>77</v>
      </c>
      <c r="P57" s="138" t="s">
        <v>77</v>
      </c>
      <c r="Q57" s="138" t="s">
        <v>77</v>
      </c>
      <c r="R57" s="138" t="s">
        <v>77</v>
      </c>
      <c r="S57" s="138">
        <f>COUNTIF(Table4[[#This Row],[MACD saiu da regiao oposta?]:[BTC com estrutura semelhante?]],"Não")</f>
        <v>0</v>
      </c>
      <c r="T57" s="223" t="s">
        <v>177</v>
      </c>
    </row>
    <row r="58" spans="1:20" ht="37" customHeight="1">
      <c r="A58" s="224">
        <v>45800</v>
      </c>
      <c r="B58" s="224" t="s">
        <v>189</v>
      </c>
      <c r="C58" s="138" t="s">
        <v>78</v>
      </c>
      <c r="D58" s="225">
        <v>0.84375</v>
      </c>
      <c r="E58" s="225" t="s">
        <v>109</v>
      </c>
      <c r="F58" s="225" t="s">
        <v>86</v>
      </c>
      <c r="G58" s="225" t="s">
        <v>170</v>
      </c>
      <c r="H58" s="138" t="s">
        <v>81</v>
      </c>
      <c r="I58" s="138" t="s">
        <v>76</v>
      </c>
      <c r="J58" s="138" t="s">
        <v>77</v>
      </c>
      <c r="K58" s="138" t="s">
        <v>77</v>
      </c>
      <c r="L58" s="138" t="s">
        <v>77</v>
      </c>
      <c r="M58" s="138" t="s">
        <v>77</v>
      </c>
      <c r="N58" s="138" t="s">
        <v>77</v>
      </c>
      <c r="O58" s="138" t="s">
        <v>77</v>
      </c>
      <c r="P58" s="138" t="s">
        <v>77</v>
      </c>
      <c r="Q58" s="138" t="s">
        <v>77</v>
      </c>
      <c r="R58" s="138" t="s">
        <v>77</v>
      </c>
      <c r="S58" s="138">
        <f>COUNTIF(Table4[[#This Row],[MACD saiu da regiao oposta?]:[BTC com estrutura semelhante?]],"Não")</f>
        <v>0</v>
      </c>
      <c r="T58" s="223" t="s">
        <v>178</v>
      </c>
    </row>
    <row r="59" spans="1:20" ht="38" customHeight="1">
      <c r="A59" s="224">
        <v>45803</v>
      </c>
      <c r="B59" s="224" t="s">
        <v>189</v>
      </c>
      <c r="C59" s="138" t="s">
        <v>74</v>
      </c>
      <c r="D59" s="225">
        <v>0.73263888888888884</v>
      </c>
      <c r="E59" s="225" t="s">
        <v>84</v>
      </c>
      <c r="F59" s="225" t="s">
        <v>85</v>
      </c>
      <c r="G59" s="225" t="s">
        <v>169</v>
      </c>
      <c r="H59" s="138" t="s">
        <v>75</v>
      </c>
      <c r="I59" s="138" t="s">
        <v>82</v>
      </c>
      <c r="J59" s="138" t="s">
        <v>77</v>
      </c>
      <c r="K59" s="138" t="s">
        <v>77</v>
      </c>
      <c r="L59" s="138" t="s">
        <v>77</v>
      </c>
      <c r="M59" s="138" t="s">
        <v>77</v>
      </c>
      <c r="N59" s="138" t="s">
        <v>77</v>
      </c>
      <c r="O59" s="138" t="s">
        <v>77</v>
      </c>
      <c r="P59" s="138" t="s">
        <v>77</v>
      </c>
      <c r="Q59" s="138" t="s">
        <v>77</v>
      </c>
      <c r="R59" s="138" t="s">
        <v>77</v>
      </c>
      <c r="S59" s="138">
        <f>COUNTIF(Table4[[#This Row],[MACD saiu da regiao oposta?]:[BTC com estrutura semelhante?]],"Não")</f>
        <v>0</v>
      </c>
      <c r="T59" s="223" t="s">
        <v>215</v>
      </c>
    </row>
    <row r="60" spans="1:20" ht="35" customHeight="1">
      <c r="A60" s="224">
        <v>45803</v>
      </c>
      <c r="B60" s="224" t="s">
        <v>189</v>
      </c>
      <c r="C60" s="138" t="s">
        <v>79</v>
      </c>
      <c r="D60" s="225">
        <v>0.75</v>
      </c>
      <c r="E60" s="225" t="s">
        <v>107</v>
      </c>
      <c r="F60" s="225" t="s">
        <v>85</v>
      </c>
      <c r="G60" s="225" t="s">
        <v>169</v>
      </c>
      <c r="H60" s="138" t="s">
        <v>75</v>
      </c>
      <c r="I60" s="138" t="s">
        <v>76</v>
      </c>
      <c r="J60" s="138" t="s">
        <v>77</v>
      </c>
      <c r="K60" s="138" t="s">
        <v>77</v>
      </c>
      <c r="L60" s="138" t="s">
        <v>77</v>
      </c>
      <c r="M60" s="138" t="s">
        <v>77</v>
      </c>
      <c r="N60" s="138" t="s">
        <v>77</v>
      </c>
      <c r="O60" s="138" t="s">
        <v>77</v>
      </c>
      <c r="P60" s="138" t="s">
        <v>77</v>
      </c>
      <c r="Q60" s="138" t="s">
        <v>77</v>
      </c>
      <c r="R60" s="138" t="s">
        <v>77</v>
      </c>
      <c r="S60" s="138">
        <f>COUNTIF(Table4[[#This Row],[MACD saiu da regiao oposta?]:[BTC com estrutura semelhante?]],"Não")</f>
        <v>0</v>
      </c>
      <c r="T60" s="223" t="s">
        <v>216</v>
      </c>
    </row>
    <row r="61" spans="1:20" ht="28" customHeight="1">
      <c r="A61" s="224">
        <v>45803</v>
      </c>
      <c r="B61" s="224" t="s">
        <v>189</v>
      </c>
      <c r="C61" s="138" t="s">
        <v>95</v>
      </c>
      <c r="D61" s="225">
        <v>0.83402777777777781</v>
      </c>
      <c r="E61" s="225" t="s">
        <v>107</v>
      </c>
      <c r="F61" s="225" t="s">
        <v>85</v>
      </c>
      <c r="G61" s="225" t="s">
        <v>170</v>
      </c>
      <c r="H61" s="138" t="s">
        <v>81</v>
      </c>
      <c r="I61" s="138" t="s">
        <v>76</v>
      </c>
      <c r="J61" s="138" t="s">
        <v>77</v>
      </c>
      <c r="K61" s="138" t="s">
        <v>77</v>
      </c>
      <c r="L61" s="138" t="s">
        <v>77</v>
      </c>
      <c r="M61" s="138" t="s">
        <v>77</v>
      </c>
      <c r="N61" s="138" t="s">
        <v>77</v>
      </c>
      <c r="O61" s="138" t="s">
        <v>77</v>
      </c>
      <c r="P61" s="138" t="s">
        <v>77</v>
      </c>
      <c r="Q61" s="138" t="s">
        <v>77</v>
      </c>
      <c r="R61" s="138" t="s">
        <v>77</v>
      </c>
      <c r="S61" s="138">
        <f>COUNTIF(Table4[[#This Row],[MACD saiu da regiao oposta?]:[BTC com estrutura semelhante?]],"Não")</f>
        <v>0</v>
      </c>
      <c r="T61" s="200" t="s">
        <v>217</v>
      </c>
    </row>
    <row r="62" spans="1:20" s="193" customFormat="1" ht="50" customHeight="1">
      <c r="A62" s="224">
        <v>45804</v>
      </c>
      <c r="B62" s="224" t="s">
        <v>191</v>
      </c>
      <c r="C62" s="138" t="s">
        <v>74</v>
      </c>
      <c r="D62" s="225">
        <v>0.65347222222222223</v>
      </c>
      <c r="E62" s="225" t="s">
        <v>84</v>
      </c>
      <c r="F62" s="225" t="s">
        <v>85</v>
      </c>
      <c r="G62" s="225" t="s">
        <v>170</v>
      </c>
      <c r="H62" s="138" t="s">
        <v>81</v>
      </c>
      <c r="I62" s="138" t="s">
        <v>82</v>
      </c>
      <c r="J62" s="138" t="s">
        <v>77</v>
      </c>
      <c r="K62" s="138" t="s">
        <v>77</v>
      </c>
      <c r="L62" s="138" t="s">
        <v>77</v>
      </c>
      <c r="M62" s="138" t="s">
        <v>77</v>
      </c>
      <c r="N62" s="138" t="s">
        <v>77</v>
      </c>
      <c r="O62" s="138" t="s">
        <v>80</v>
      </c>
      <c r="P62" s="138" t="s">
        <v>77</v>
      </c>
      <c r="Q62" s="138" t="s">
        <v>77</v>
      </c>
      <c r="R62" s="138" t="s">
        <v>77</v>
      </c>
      <c r="S62" s="138">
        <f>COUNTIF(Table4[[#This Row],[MACD saiu da regiao oposta?]:[BTC com estrutura semelhante?]],"Não")</f>
        <v>1</v>
      </c>
      <c r="T62" s="223" t="s">
        <v>222</v>
      </c>
    </row>
    <row r="63" spans="1:20" s="193" customFormat="1" ht="44" customHeight="1">
      <c r="A63" s="224">
        <v>45804</v>
      </c>
      <c r="B63" s="224" t="s">
        <v>191</v>
      </c>
      <c r="C63" s="138" t="s">
        <v>78</v>
      </c>
      <c r="D63" s="225">
        <v>0.65486111111111112</v>
      </c>
      <c r="E63" s="225" t="s">
        <v>107</v>
      </c>
      <c r="F63" s="225" t="s">
        <v>85</v>
      </c>
      <c r="G63" s="225" t="s">
        <v>170</v>
      </c>
      <c r="H63" s="138" t="s">
        <v>81</v>
      </c>
      <c r="I63" s="138" t="s">
        <v>82</v>
      </c>
      <c r="J63" s="138" t="s">
        <v>77</v>
      </c>
      <c r="K63" s="138" t="s">
        <v>77</v>
      </c>
      <c r="L63" s="138" t="s">
        <v>77</v>
      </c>
      <c r="M63" s="138" t="s">
        <v>77</v>
      </c>
      <c r="N63" s="138" t="s">
        <v>77</v>
      </c>
      <c r="O63" s="138" t="s">
        <v>80</v>
      </c>
      <c r="P63" s="138" t="s">
        <v>77</v>
      </c>
      <c r="Q63" s="138" t="s">
        <v>77</v>
      </c>
      <c r="R63" s="138" t="s">
        <v>77</v>
      </c>
      <c r="S63" s="138">
        <f>COUNTIF(Table4[[#This Row],[MACD saiu da regiao oposta?]:[BTC com estrutura semelhante?]],"Não")</f>
        <v>1</v>
      </c>
      <c r="T63" s="223" t="s">
        <v>223</v>
      </c>
    </row>
    <row r="64" spans="1:20" s="193" customFormat="1" ht="33" customHeight="1">
      <c r="A64" s="224">
        <v>45804</v>
      </c>
      <c r="B64" s="224" t="s">
        <v>191</v>
      </c>
      <c r="C64" s="138" t="s">
        <v>78</v>
      </c>
      <c r="D64" s="225">
        <v>0.66736111111111107</v>
      </c>
      <c r="E64" s="225" t="s">
        <v>109</v>
      </c>
      <c r="F64" s="225" t="s">
        <v>85</v>
      </c>
      <c r="G64" s="225" t="s">
        <v>170</v>
      </c>
      <c r="H64" s="138" t="s">
        <v>81</v>
      </c>
      <c r="I64" s="138" t="s">
        <v>82</v>
      </c>
      <c r="J64" s="138" t="s">
        <v>77</v>
      </c>
      <c r="K64" s="138" t="s">
        <v>77</v>
      </c>
      <c r="L64" s="138" t="s">
        <v>77</v>
      </c>
      <c r="M64" s="138" t="s">
        <v>77</v>
      </c>
      <c r="N64" s="138" t="s">
        <v>77</v>
      </c>
      <c r="O64" s="138" t="s">
        <v>77</v>
      </c>
      <c r="P64" s="138" t="s">
        <v>77</v>
      </c>
      <c r="Q64" s="138" t="s">
        <v>77</v>
      </c>
      <c r="R64" s="138" t="s">
        <v>77</v>
      </c>
      <c r="S64" s="138">
        <f>COUNTIF(Table4[[#This Row],[MACD saiu da regiao oposta?]:[BTC com estrutura semelhante?]],"Não")</f>
        <v>0</v>
      </c>
      <c r="T64" s="200" t="s">
        <v>220</v>
      </c>
    </row>
    <row r="65" spans="1:20" s="193" customFormat="1" ht="33" customHeight="1">
      <c r="A65" s="224">
        <v>45804</v>
      </c>
      <c r="B65" s="224" t="s">
        <v>191</v>
      </c>
      <c r="C65" s="138" t="s">
        <v>78</v>
      </c>
      <c r="D65" s="225">
        <v>0.66874999999999996</v>
      </c>
      <c r="E65" s="225" t="s">
        <v>110</v>
      </c>
      <c r="F65" s="225" t="s">
        <v>85</v>
      </c>
      <c r="G65" s="225" t="s">
        <v>170</v>
      </c>
      <c r="H65" s="138" t="s">
        <v>81</v>
      </c>
      <c r="I65" s="138" t="s">
        <v>76</v>
      </c>
      <c r="J65" s="138" t="s">
        <v>77</v>
      </c>
      <c r="K65" s="138" t="s">
        <v>77</v>
      </c>
      <c r="L65" s="138" t="s">
        <v>77</v>
      </c>
      <c r="M65" s="138" t="s">
        <v>77</v>
      </c>
      <c r="N65" s="138" t="s">
        <v>77</v>
      </c>
      <c r="O65" s="138" t="s">
        <v>77</v>
      </c>
      <c r="P65" s="138" t="s">
        <v>77</v>
      </c>
      <c r="Q65" s="138" t="s">
        <v>77</v>
      </c>
      <c r="R65" s="138" t="s">
        <v>77</v>
      </c>
      <c r="S65" s="138">
        <f>COUNTIF(Table4[[#This Row],[MACD saiu da regiao oposta?]:[BTC com estrutura semelhante?]],"Não")</f>
        <v>0</v>
      </c>
      <c r="T65" s="200" t="s">
        <v>221</v>
      </c>
    </row>
    <row r="66" spans="1:20" ht="34" customHeight="1">
      <c r="A66" s="224">
        <v>45804</v>
      </c>
      <c r="B66" s="224" t="s">
        <v>191</v>
      </c>
      <c r="C66" s="138" t="s">
        <v>78</v>
      </c>
      <c r="D66" s="225">
        <v>0.66874999999999996</v>
      </c>
      <c r="E66" s="225" t="s">
        <v>84</v>
      </c>
      <c r="F66" s="225" t="s">
        <v>86</v>
      </c>
      <c r="G66" s="225" t="s">
        <v>170</v>
      </c>
      <c r="H66" s="138" t="s">
        <v>81</v>
      </c>
      <c r="I66" s="138" t="s">
        <v>76</v>
      </c>
      <c r="J66" s="138" t="s">
        <v>77</v>
      </c>
      <c r="K66" s="138" t="s">
        <v>77</v>
      </c>
      <c r="L66" s="138" t="s">
        <v>77</v>
      </c>
      <c r="M66" s="138" t="s">
        <v>77</v>
      </c>
      <c r="N66" s="138" t="s">
        <v>77</v>
      </c>
      <c r="O66" s="138" t="s">
        <v>77</v>
      </c>
      <c r="P66" s="138" t="s">
        <v>77</v>
      </c>
      <c r="Q66" s="138" t="s">
        <v>77</v>
      </c>
      <c r="R66" s="138" t="s">
        <v>77</v>
      </c>
      <c r="S66" s="138">
        <f>COUNTIF(Table4[[#This Row],[MACD saiu da regiao oposta?]:[BTC com estrutura semelhante?]],"Não")</f>
        <v>0</v>
      </c>
      <c r="T66" s="200" t="s">
        <v>219</v>
      </c>
    </row>
    <row r="67" spans="1:20" ht="51" customHeight="1">
      <c r="A67" s="224">
        <v>45810</v>
      </c>
      <c r="B67" s="224" t="s">
        <v>189</v>
      </c>
      <c r="C67" s="138" t="s">
        <v>74</v>
      </c>
      <c r="D67" s="225">
        <v>0.69097222222222221</v>
      </c>
      <c r="E67" s="225" t="s">
        <v>84</v>
      </c>
      <c r="F67" s="225" t="s">
        <v>85</v>
      </c>
      <c r="G67" s="225" t="s">
        <v>170</v>
      </c>
      <c r="H67" s="138" t="s">
        <v>81</v>
      </c>
      <c r="I67" s="138" t="s">
        <v>82</v>
      </c>
      <c r="J67" s="138" t="s">
        <v>77</v>
      </c>
      <c r="K67" s="138" t="s">
        <v>77</v>
      </c>
      <c r="L67" s="138" t="s">
        <v>77</v>
      </c>
      <c r="M67" s="138" t="s">
        <v>77</v>
      </c>
      <c r="N67" s="138" t="s">
        <v>77</v>
      </c>
      <c r="O67" s="138" t="s">
        <v>77</v>
      </c>
      <c r="P67" s="138" t="s">
        <v>77</v>
      </c>
      <c r="Q67" s="138" t="s">
        <v>77</v>
      </c>
      <c r="R67" s="138" t="s">
        <v>77</v>
      </c>
      <c r="S67" s="138">
        <f>COUNTIF(Table4[[#This Row],[MACD saiu da regiao oposta?]:[BTC com estrutura semelhante?]],"Não")</f>
        <v>0</v>
      </c>
      <c r="T67" s="223" t="s">
        <v>230</v>
      </c>
    </row>
    <row r="68" spans="1:20" ht="42" customHeight="1">
      <c r="A68" s="224">
        <v>45810</v>
      </c>
      <c r="B68" s="224" t="s">
        <v>189</v>
      </c>
      <c r="C68" s="138" t="s">
        <v>79</v>
      </c>
      <c r="D68" s="225">
        <v>0.75138888888888888</v>
      </c>
      <c r="E68" s="225" t="s">
        <v>110</v>
      </c>
      <c r="F68" s="225" t="s">
        <v>85</v>
      </c>
      <c r="G68" s="225" t="s">
        <v>169</v>
      </c>
      <c r="H68" s="138" t="s">
        <v>75</v>
      </c>
      <c r="I68" s="138" t="s">
        <v>76</v>
      </c>
      <c r="J68" s="138" t="s">
        <v>77</v>
      </c>
      <c r="K68" s="138" t="s">
        <v>77</v>
      </c>
      <c r="L68" s="138" t="s">
        <v>80</v>
      </c>
      <c r="M68" s="138" t="s">
        <v>77</v>
      </c>
      <c r="N68" s="138" t="s">
        <v>77</v>
      </c>
      <c r="O68" s="138" t="s">
        <v>77</v>
      </c>
      <c r="P68" s="138" t="s">
        <v>77</v>
      </c>
      <c r="Q68" s="138" t="s">
        <v>77</v>
      </c>
      <c r="R68" s="138" t="s">
        <v>77</v>
      </c>
      <c r="S68" s="138">
        <f>COUNTIF(Table4[[#This Row],[MACD saiu da regiao oposta?]:[BTC com estrutura semelhante?]],"Não")</f>
        <v>1</v>
      </c>
      <c r="T68" s="223" t="s">
        <v>231</v>
      </c>
    </row>
    <row r="69" spans="1:20" ht="37" customHeight="1">
      <c r="A69" s="224">
        <v>45810</v>
      </c>
      <c r="B69" s="224" t="s">
        <v>189</v>
      </c>
      <c r="C69" s="138" t="s">
        <v>74</v>
      </c>
      <c r="D69" s="225">
        <v>0.78402777777777777</v>
      </c>
      <c r="E69" s="225" t="s">
        <v>84</v>
      </c>
      <c r="F69" s="225" t="s">
        <v>86</v>
      </c>
      <c r="G69" s="225" t="s">
        <v>169</v>
      </c>
      <c r="H69" s="138" t="s">
        <v>75</v>
      </c>
      <c r="I69" s="138" t="s">
        <v>76</v>
      </c>
      <c r="J69" s="138" t="s">
        <v>77</v>
      </c>
      <c r="K69" s="138" t="s">
        <v>77</v>
      </c>
      <c r="L69" s="138" t="s">
        <v>77</v>
      </c>
      <c r="M69" s="138" t="s">
        <v>77</v>
      </c>
      <c r="N69" s="138" t="s">
        <v>77</v>
      </c>
      <c r="O69" s="138" t="s">
        <v>77</v>
      </c>
      <c r="P69" s="138" t="s">
        <v>77</v>
      </c>
      <c r="Q69" s="138" t="s">
        <v>77</v>
      </c>
      <c r="R69" s="138" t="s">
        <v>77</v>
      </c>
      <c r="S69" s="138">
        <f>COUNTIF(Table4[[#This Row],[MACD saiu da regiao oposta?]:[BTC com estrutura semelhante?]],"Não")</f>
        <v>0</v>
      </c>
      <c r="T69" s="223" t="s">
        <v>232</v>
      </c>
    </row>
    <row r="70" spans="1:20" s="193" customFormat="1" ht="37" customHeight="1">
      <c r="A70" s="224">
        <v>45810</v>
      </c>
      <c r="B70" s="224" t="s">
        <v>189</v>
      </c>
      <c r="C70" s="138" t="s">
        <v>79</v>
      </c>
      <c r="D70" s="225">
        <v>0.79166666666666663</v>
      </c>
      <c r="E70" s="225" t="s">
        <v>84</v>
      </c>
      <c r="F70" s="225" t="s">
        <v>86</v>
      </c>
      <c r="G70" s="225" t="s">
        <v>169</v>
      </c>
      <c r="H70" s="138" t="s">
        <v>75</v>
      </c>
      <c r="I70" s="138" t="s">
        <v>76</v>
      </c>
      <c r="J70" s="138" t="s">
        <v>77</v>
      </c>
      <c r="K70" s="138" t="s">
        <v>77</v>
      </c>
      <c r="L70" s="138" t="s">
        <v>77</v>
      </c>
      <c r="M70" s="138" t="s">
        <v>77</v>
      </c>
      <c r="N70" s="138" t="s">
        <v>77</v>
      </c>
      <c r="O70" s="138" t="s">
        <v>77</v>
      </c>
      <c r="P70" s="138" t="s">
        <v>77</v>
      </c>
      <c r="Q70" s="138" t="s">
        <v>77</v>
      </c>
      <c r="R70" s="138" t="s">
        <v>77</v>
      </c>
      <c r="S70" s="138">
        <f>COUNTIF(Table4[[#This Row],[MACD saiu da regiao oposta?]:[BTC com estrutura semelhante?]],"Não")</f>
        <v>0</v>
      </c>
      <c r="T70" s="223" t="s">
        <v>233</v>
      </c>
    </row>
    <row r="71" spans="1:20" ht="41" customHeight="1">
      <c r="A71" s="224">
        <v>45811</v>
      </c>
      <c r="B71" s="224" t="s">
        <v>189</v>
      </c>
      <c r="C71" s="138" t="s">
        <v>78</v>
      </c>
      <c r="D71" s="225">
        <v>0.62708333333333333</v>
      </c>
      <c r="E71" s="225" t="s">
        <v>84</v>
      </c>
      <c r="F71" s="225" t="s">
        <v>85</v>
      </c>
      <c r="G71" s="225" t="s">
        <v>170</v>
      </c>
      <c r="H71" s="138" t="s">
        <v>81</v>
      </c>
      <c r="I71" s="138" t="s">
        <v>76</v>
      </c>
      <c r="J71" s="138" t="s">
        <v>77</v>
      </c>
      <c r="K71" s="138" t="s">
        <v>77</v>
      </c>
      <c r="L71" s="138" t="s">
        <v>77</v>
      </c>
      <c r="M71" s="138" t="s">
        <v>77</v>
      </c>
      <c r="N71" s="138" t="s">
        <v>77</v>
      </c>
      <c r="O71" s="138" t="s">
        <v>77</v>
      </c>
      <c r="P71" s="138" t="s">
        <v>77</v>
      </c>
      <c r="Q71" s="138" t="s">
        <v>77</v>
      </c>
      <c r="R71" s="138" t="s">
        <v>77</v>
      </c>
      <c r="S71" s="138">
        <f>COUNTIF(Table4[[#This Row],[MACD saiu da regiao oposta?]:[BTC com estrutura semelhante?]],"Não")</f>
        <v>0</v>
      </c>
      <c r="T71" s="223" t="s">
        <v>236</v>
      </c>
    </row>
    <row r="72" spans="1:20" ht="45" customHeight="1">
      <c r="A72" s="224">
        <v>45811</v>
      </c>
      <c r="B72" s="224" t="s">
        <v>189</v>
      </c>
      <c r="C72" s="138" t="s">
        <v>78</v>
      </c>
      <c r="D72" s="225">
        <v>0.6791666666666667</v>
      </c>
      <c r="E72" s="225" t="s">
        <v>84</v>
      </c>
      <c r="F72" s="225" t="s">
        <v>85</v>
      </c>
      <c r="G72" s="225" t="s">
        <v>169</v>
      </c>
      <c r="H72" s="138" t="s">
        <v>75</v>
      </c>
      <c r="I72" s="138" t="s">
        <v>82</v>
      </c>
      <c r="J72" s="138" t="s">
        <v>77</v>
      </c>
      <c r="K72" s="138" t="s">
        <v>77</v>
      </c>
      <c r="L72" s="138" t="s">
        <v>77</v>
      </c>
      <c r="M72" s="138" t="s">
        <v>77</v>
      </c>
      <c r="N72" s="138" t="s">
        <v>80</v>
      </c>
      <c r="O72" s="138" t="s">
        <v>80</v>
      </c>
      <c r="P72" s="138" t="s">
        <v>77</v>
      </c>
      <c r="Q72" s="138" t="s">
        <v>77</v>
      </c>
      <c r="R72" s="138" t="s">
        <v>77</v>
      </c>
      <c r="S72" s="138">
        <f>COUNTIF(Table4[[#This Row],[MACD saiu da regiao oposta?]:[BTC com estrutura semelhante?]],"Não")</f>
        <v>2</v>
      </c>
      <c r="T72" s="223" t="s">
        <v>237</v>
      </c>
    </row>
    <row r="73" spans="1:20" ht="48">
      <c r="A73" s="224">
        <v>45811</v>
      </c>
      <c r="B73" s="224" t="s">
        <v>189</v>
      </c>
      <c r="C73" s="138" t="s">
        <v>74</v>
      </c>
      <c r="D73" s="225">
        <v>0.70138888888888884</v>
      </c>
      <c r="E73" s="225" t="s">
        <v>107</v>
      </c>
      <c r="F73" s="225" t="s">
        <v>85</v>
      </c>
      <c r="G73" s="225" t="s">
        <v>171</v>
      </c>
      <c r="H73" s="138" t="s">
        <v>81</v>
      </c>
      <c r="I73" s="138" t="s">
        <v>82</v>
      </c>
      <c r="J73" s="138" t="s">
        <v>77</v>
      </c>
      <c r="K73" s="138" t="s">
        <v>77</v>
      </c>
      <c r="L73" s="138" t="s">
        <v>77</v>
      </c>
      <c r="M73" s="138" t="s">
        <v>77</v>
      </c>
      <c r="N73" s="138" t="s">
        <v>77</v>
      </c>
      <c r="O73" s="138" t="s">
        <v>77</v>
      </c>
      <c r="P73" s="138" t="s">
        <v>77</v>
      </c>
      <c r="Q73" s="138" t="s">
        <v>77</v>
      </c>
      <c r="R73" s="138" t="s">
        <v>77</v>
      </c>
      <c r="S73" s="138">
        <f>COUNTIF(Table4[[#This Row],[MACD saiu da regiao oposta?]:[BTC com estrutura semelhante?]],"Não")</f>
        <v>0</v>
      </c>
      <c r="T73" s="223" t="s">
        <v>238</v>
      </c>
    </row>
    <row r="74" spans="1:20" ht="44" customHeight="1">
      <c r="A74" s="224">
        <v>45811</v>
      </c>
      <c r="B74" s="224" t="s">
        <v>189</v>
      </c>
      <c r="C74" s="138" t="s">
        <v>83</v>
      </c>
      <c r="D74" s="225">
        <v>0.71250000000000002</v>
      </c>
      <c r="E74" s="225" t="s">
        <v>109</v>
      </c>
      <c r="F74" s="225" t="s">
        <v>85</v>
      </c>
      <c r="G74" s="225" t="s">
        <v>170</v>
      </c>
      <c r="H74" s="138" t="s">
        <v>81</v>
      </c>
      <c r="I74" s="138" t="s">
        <v>76</v>
      </c>
      <c r="J74" s="138" t="s">
        <v>77</v>
      </c>
      <c r="K74" s="138" t="s">
        <v>77</v>
      </c>
      <c r="L74" s="138" t="s">
        <v>77</v>
      </c>
      <c r="M74" s="138" t="s">
        <v>77</v>
      </c>
      <c r="N74" s="138" t="s">
        <v>77</v>
      </c>
      <c r="O74" s="138" t="s">
        <v>77</v>
      </c>
      <c r="P74" s="138" t="s">
        <v>77</v>
      </c>
      <c r="Q74" s="138" t="s">
        <v>77</v>
      </c>
      <c r="R74" s="138" t="s">
        <v>77</v>
      </c>
      <c r="S74" s="138">
        <f>COUNTIF(Table4[[#This Row],[MACD saiu da regiao oposta?]:[BTC com estrutura semelhante?]],"Não")</f>
        <v>0</v>
      </c>
      <c r="T74" s="223" t="s">
        <v>239</v>
      </c>
    </row>
    <row r="75" spans="1:20" ht="40" customHeight="1">
      <c r="A75" s="224">
        <v>45811</v>
      </c>
      <c r="B75" s="224" t="s">
        <v>189</v>
      </c>
      <c r="C75" s="138" t="s">
        <v>83</v>
      </c>
      <c r="D75" s="225">
        <v>0.78541666666666665</v>
      </c>
      <c r="E75" s="225" t="s">
        <v>109</v>
      </c>
      <c r="F75" s="225" t="s">
        <v>85</v>
      </c>
      <c r="G75" s="225" t="s">
        <v>170</v>
      </c>
      <c r="H75" s="138" t="s">
        <v>81</v>
      </c>
      <c r="I75" s="138" t="s">
        <v>76</v>
      </c>
      <c r="J75" s="138" t="s">
        <v>77</v>
      </c>
      <c r="K75" s="138" t="s">
        <v>77</v>
      </c>
      <c r="L75" s="138" t="s">
        <v>77</v>
      </c>
      <c r="M75" s="138" t="s">
        <v>77</v>
      </c>
      <c r="N75" s="138" t="s">
        <v>77</v>
      </c>
      <c r="O75" s="138" t="s">
        <v>77</v>
      </c>
      <c r="P75" s="138" t="s">
        <v>77</v>
      </c>
      <c r="Q75" s="138" t="s">
        <v>77</v>
      </c>
      <c r="R75" s="138" t="s">
        <v>77</v>
      </c>
      <c r="S75" s="138">
        <f>COUNTIF(Table4[[#This Row],[MACD saiu da regiao oposta?]:[BTC com estrutura semelhante?]],"Não")</f>
        <v>0</v>
      </c>
      <c r="T75" s="223" t="s">
        <v>240</v>
      </c>
    </row>
    <row r="76" spans="1:20" ht="35" customHeight="1">
      <c r="A76" s="224">
        <v>45821</v>
      </c>
      <c r="B76" s="224" t="s">
        <v>191</v>
      </c>
      <c r="C76" s="138" t="s">
        <v>78</v>
      </c>
      <c r="D76" s="225">
        <v>0.89236111111111116</v>
      </c>
      <c r="E76" s="225" t="s">
        <v>84</v>
      </c>
      <c r="F76" s="225" t="s">
        <v>86</v>
      </c>
      <c r="G76" s="225" t="s">
        <v>170</v>
      </c>
      <c r="H76" s="138" t="s">
        <v>81</v>
      </c>
      <c r="I76" s="138" t="s">
        <v>76</v>
      </c>
      <c r="J76" s="138" t="s">
        <v>77</v>
      </c>
      <c r="K76" s="138" t="s">
        <v>77</v>
      </c>
      <c r="L76" s="138" t="s">
        <v>77</v>
      </c>
      <c r="M76" s="138" t="s">
        <v>77</v>
      </c>
      <c r="N76" s="138" t="s">
        <v>77</v>
      </c>
      <c r="O76" s="138" t="s">
        <v>77</v>
      </c>
      <c r="P76" s="138" t="s">
        <v>77</v>
      </c>
      <c r="Q76" s="138" t="s">
        <v>77</v>
      </c>
      <c r="R76" s="138" t="s">
        <v>77</v>
      </c>
      <c r="S76" s="138">
        <f>COUNTIF(Table4[[#This Row],[MACD saiu da regiao oposta?]:[BTC com estrutura semelhante?]],"Não")</f>
        <v>0</v>
      </c>
      <c r="T76" s="302" t="s">
        <v>252</v>
      </c>
    </row>
    <row r="77" spans="1:20" ht="35" customHeight="1">
      <c r="A77" s="224">
        <v>45821</v>
      </c>
      <c r="B77" s="224" t="s">
        <v>191</v>
      </c>
      <c r="C77" s="138" t="s">
        <v>74</v>
      </c>
      <c r="D77" s="225">
        <v>0.89861111111111114</v>
      </c>
      <c r="E77" s="225" t="s">
        <v>84</v>
      </c>
      <c r="F77" s="225" t="s">
        <v>86</v>
      </c>
      <c r="G77" s="225" t="s">
        <v>170</v>
      </c>
      <c r="H77" s="138" t="s">
        <v>81</v>
      </c>
      <c r="I77" s="138" t="s">
        <v>76</v>
      </c>
      <c r="J77" s="138" t="s">
        <v>77</v>
      </c>
      <c r="K77" s="138" t="s">
        <v>77</v>
      </c>
      <c r="L77" s="138" t="s">
        <v>77</v>
      </c>
      <c r="M77" s="138" t="s">
        <v>77</v>
      </c>
      <c r="N77" s="138" t="s">
        <v>77</v>
      </c>
      <c r="O77" s="138" t="s">
        <v>77</v>
      </c>
      <c r="P77" s="138" t="s">
        <v>77</v>
      </c>
      <c r="Q77" s="138" t="s">
        <v>77</v>
      </c>
      <c r="R77" s="138" t="s">
        <v>77</v>
      </c>
      <c r="S77" s="138">
        <f>COUNTIF(Table4[[#This Row],[MACD saiu da regiao oposta?]:[BTC com estrutura semelhante?]],"Não")</f>
        <v>0</v>
      </c>
      <c r="T77" s="302" t="s">
        <v>253</v>
      </c>
    </row>
    <row r="127" ht="55" customHeight="1"/>
  </sheetData>
  <mergeCells count="14">
    <mergeCell ref="A1:F2"/>
    <mergeCell ref="V3:X3"/>
    <mergeCell ref="Y3:Z3"/>
    <mergeCell ref="AC3:AG3"/>
    <mergeCell ref="AA3:AB3"/>
    <mergeCell ref="T1:T2"/>
    <mergeCell ref="L1:R2"/>
    <mergeCell ref="BB3:BE3"/>
    <mergeCell ref="U1:BE2"/>
    <mergeCell ref="BB11:BE11"/>
    <mergeCell ref="AQ3:AW3"/>
    <mergeCell ref="AX3:BA3"/>
    <mergeCell ref="AM3:AP3"/>
    <mergeCell ref="AH3:AL3"/>
  </mergeCells>
  <phoneticPr fontId="60" type="noConversion"/>
  <conditionalFormatting sqref="I4:I77">
    <cfRule type="containsText" dxfId="3" priority="3" operator="containsText" text="Loss">
      <formula>NOT(ISERROR(SEARCH("Loss",I4)))</formula>
    </cfRule>
    <cfRule type="containsText" dxfId="2" priority="4" operator="containsText" text="Win">
      <formula>NOT(ISERROR(SEARCH("Win",I4)))</formula>
    </cfRule>
  </conditionalFormatting>
  <conditionalFormatting sqref="J4:R77">
    <cfRule type="containsText" dxfId="1" priority="2" operator="containsText" text="Não">
      <formula>NOT(ISERROR(SEARCH("Não",J4)))</formula>
    </cfRule>
  </conditionalFormatting>
  <conditionalFormatting sqref="S4:S77">
    <cfRule type="containsText" dxfId="0" priority="1" operator="containsText" text="Não">
      <formula>NOT(ISERROR(SEARCH("Não",S4)))</formula>
    </cfRule>
  </conditionalFormatting>
  <dataValidations count="8">
    <dataValidation type="list" allowBlank="1" showInputMessage="1" showErrorMessage="1" sqref="I4:I77" xr:uid="{5A72C2D8-EE3A-464F-8D57-A6153460ABCA}">
      <formula1>"Win,Loss,"</formula1>
    </dataValidation>
    <dataValidation type="list" allowBlank="1" showInputMessage="1" showErrorMessage="1" sqref="H4:H77" xr:uid="{3E022A80-A9D7-5C49-AAF1-7EA419BC0FFC}">
      <formula1>"COMPRA,VENDA,"</formula1>
    </dataValidation>
    <dataValidation type="list" allowBlank="1" showInputMessage="1" showErrorMessage="1" sqref="F4:F77" xr:uid="{B93695BB-09CD-D74C-96D7-9E666637B648}">
      <formula1>"Ciclo 1,Ciclo 2,"</formula1>
    </dataValidation>
    <dataValidation type="list" allowBlank="1" showInputMessage="1" showErrorMessage="1" sqref="E4:E77" xr:uid="{C8CBBA3A-45F8-0244-8ACC-921B14E204E4}">
      <formula1>"Nível 1,Nível 2,Nível 3,Nível 4,Nível 5,Nível 6,Nível 7,"</formula1>
    </dataValidation>
    <dataValidation type="list" allowBlank="1" showInputMessage="1" showErrorMessage="1" sqref="C4:C77" xr:uid="{8B0F553F-39AF-BD49-8D6A-ABB2B4B58679}">
      <formula1>"BTC/USDT,ETH/USDT,SOL/USDT,IDX/USDT,MEMX/USDT,"</formula1>
    </dataValidation>
    <dataValidation type="list" allowBlank="1" showInputMessage="1" showErrorMessage="1" sqref="J4:R77" xr:uid="{C85E926F-0457-EB46-A18A-9AF42BD4011B}">
      <formula1>"Sim,Não,"</formula1>
    </dataValidation>
    <dataValidation type="list" allowBlank="1" showInputMessage="1" showErrorMessage="1" sqref="G4:G77" xr:uid="{F6B66590-82C0-A54D-A0FD-01557AB9A322}">
      <formula1>"Bullish clássico,Bearish Clássico,Bullish - Exaustão + Rompimento,Bearish - Exaustão + Rompimento"</formula1>
    </dataValidation>
    <dataValidation type="list" allowBlank="1" showInputMessage="1" showErrorMessage="1" sqref="B4:B77" xr:uid="{D222F8FE-3D94-9041-A3D0-7B5521544DBB}">
      <formula1>"Mercado forte,Mercado de alta volatilidade,Mercado confuso,"</formula1>
    </dataValidation>
  </dataValidations>
  <pageMargins left="0.7" right="0.7" top="0.75" bottom="0.75" header="0.3" footer="0.3"/>
  <pageSetup paperSize="9" orientation="portrait" horizontalDpi="0" verticalDpi="0"/>
  <ignoredErrors>
    <ignoredError sqref="W5:X5 S4 AN6:AO9" calculatedColumn="1"/>
  </ignoredErrors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NOVEMBRO, 24</vt:lpstr>
      <vt:lpstr>DEZEMBRO, 24</vt:lpstr>
      <vt:lpstr>JANEIRO, 25</vt:lpstr>
      <vt:lpstr>FEVEREIRO, 25</vt:lpstr>
      <vt:lpstr>MARCO, 25</vt:lpstr>
      <vt:lpstr>ABRIL, 25</vt:lpstr>
      <vt:lpstr>MAIO, 25</vt:lpstr>
      <vt:lpstr>JUNHO, 25</vt:lpstr>
      <vt:lpstr>REGISTROS DE OPERAÇÕES </vt:lpstr>
      <vt:lpstr>HISTÓRICO DA BANCA</vt:lpstr>
      <vt:lpstr>GANHOS</vt:lpstr>
      <vt:lpstr>PERCENTUAL</vt:lpstr>
      <vt:lpstr>RETIRADAS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Alves Fonseca</dc:creator>
  <cp:lastModifiedBy>Felipe Da Fonseca Lourerio</cp:lastModifiedBy>
  <dcterms:created xsi:type="dcterms:W3CDTF">2024-10-30T16:36:18Z</dcterms:created>
  <dcterms:modified xsi:type="dcterms:W3CDTF">2025-06-27T20:45:24Z</dcterms:modified>
</cp:coreProperties>
</file>