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4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36289C89-EAB5-466C-BED2-830F7B2A2C8B}" xr6:coauthVersionLast="47" xr6:coauthVersionMax="47" xr10:uidLastSave="{00000000-0000-0000-0000-000000000000}"/>
  <bookViews>
    <workbookView xWindow="-28908" yWindow="-1980" windowWidth="29016" windowHeight="15696" firstSheet="1" activeTab="5" xr2:uid="{9CFA523F-0F14-4394-A0BC-187E9CEFE94F}"/>
  </bookViews>
  <sheets>
    <sheet name="Cognos_Office_Connection_Cache" sheetId="2" state="veryHidden" r:id="rId1"/>
    <sheet name="Home" sheetId="6" r:id="rId2"/>
    <sheet name="Summary  - Fx" sheetId="17" state="hidden" r:id="rId3"/>
    <sheet name="Summary" sheetId="1" r:id="rId4"/>
    <sheet name="Cement Volumes &amp; Prices - Fx" sheetId="5" state="hidden" r:id="rId5"/>
    <sheet name="Cement Volumes &amp; Prices" sheetId="9" r:id="rId6"/>
    <sheet name="EBITDA - Fx" sheetId="7" state="hidden" r:id="rId7"/>
    <sheet name="EBITDA" sheetId="8" r:id="rId8"/>
    <sheet name="Net Income - Fx" sheetId="32" state="hidden" r:id="rId9"/>
    <sheet name="Net Income" sheetId="33" r:id="rId10"/>
    <sheet name="Cash Generation - Fx" sheetId="16" state="hidden" r:id="rId11"/>
    <sheet name="Cash Generation" sheetId="15" r:id="rId12"/>
    <sheet name="Vol | Price (product ) - Fx" sheetId="26" state="hidden" r:id="rId13"/>
    <sheet name="Vol | Price  (product)" sheetId="27" r:id="rId14"/>
    <sheet name="Reg | Product - Fx " sheetId="30" state="hidden" r:id="rId15"/>
    <sheet name="Reg | Product" sheetId="31" r:id="rId16"/>
    <sheet name="EBITDA Accounts - Fx" sheetId="34" state="hidden" r:id="rId17"/>
    <sheet name="EBITDA - Accounts" sheetId="35" r:id="rId18"/>
  </sheets>
  <definedNames>
    <definedName name="ID" localSheetId="11" hidden="1">"005cdb4c-d904-483a-8c04-e6e8a9cdfd65"</definedName>
    <definedName name="ID" localSheetId="10">"ffd3c754-87db-4290-be14-baeec74b153c"</definedName>
    <definedName name="ID" localSheetId="5" hidden="1">"a9d8bc3e-d3ba-4827-ace5-5210d79c23a0"</definedName>
    <definedName name="ID" localSheetId="4">"d9833f41-ff4f-4edb-a348-fa5525b33f7f"</definedName>
    <definedName name="ID" localSheetId="0">"48c92c0b-6614-47b6-bc06-edf950ad7eca"</definedName>
    <definedName name="ID" localSheetId="7">"d93ed13a-8e7b-4c6f-b6b3-f42d2e192d2c"</definedName>
    <definedName name="ID" localSheetId="17" hidden="1">"0247c2a1-0a97-4e60-b1a4-3385ef227395"</definedName>
    <definedName name="ID" localSheetId="6">"06c35546-e1ea-4f14-840a-995aaed84db4"</definedName>
    <definedName name="ID" localSheetId="16">"a7abdd59-af78-4b30-80f7-65ae2464b716"</definedName>
    <definedName name="ID" localSheetId="1" hidden="1">"569f08e5-ac79-423c-8454-824dd5755287"</definedName>
    <definedName name="ID" localSheetId="9" hidden="1">"1fc19adc-67f4-4545-86c4-714b0089503e"</definedName>
    <definedName name="ID" localSheetId="8">"b748b396-170f-44a6-bae3-f99a0c51799f"</definedName>
    <definedName name="ID" localSheetId="15" hidden="1">"9c0849d0-7973-4058-bd16-946083c5f1ed"</definedName>
    <definedName name="ID" localSheetId="14">"db02b9b5-88b3-4d4b-a27a-3155df7c60dc"</definedName>
    <definedName name="ID" localSheetId="3" hidden="1">"080ccd19-50b2-4229-8b68-14c3139ba9d2"</definedName>
    <definedName name="ID" localSheetId="2">"c5636b4e-3fe7-49a1-bfef-3ebbeb1fa61d"</definedName>
    <definedName name="ID" localSheetId="13" hidden="1">"adb14db8-ffe7-4754-a258-af8d6aa85fac"</definedName>
    <definedName name="ID" localSheetId="12">"e71144bd-e222-46f5-8d7c-fe5101f2bc7d"</definedName>
    <definedName name="ID_1" localSheetId="7">"9c7c4969-7e77-4d19-a2b5-78f5e7d15ad4"</definedName>
    <definedName name="ID_1" localSheetId="6">"d93ed13a-8e7b-4c6f-b6b3-f42d2e192d2c"</definedName>
    <definedName name="ID_1" localSheetId="14">"81799d31-f9c1-4594-9c17-e303897ae98a"</definedName>
    <definedName name="ID_1_1" localSheetId="7">"81799d31-f9c1-4594-9c17-e303897ae98a"</definedName>
    <definedName name="ID_1_1" localSheetId="6">"9c7c4969-7e77-4d19-a2b5-78f5e7d15ad4"</definedName>
    <definedName name="ID_1_1_1" localSheetId="6">"81799d31-f9c1-4594-9c17-e303897ae98a"</definedName>
  </definedNames>
  <calcPr calcId="191029" calcOnSave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5" l="1"/>
  <c r="AM6" i="35"/>
  <c r="B28" i="31"/>
  <c r="P6" i="31"/>
  <c r="X6" i="27"/>
  <c r="O6" i="15"/>
  <c r="C6" i="33"/>
  <c r="X6" i="9"/>
  <c r="D6" i="1"/>
  <c r="AK6" i="31"/>
  <c r="R6" i="33"/>
  <c r="M6" i="8"/>
  <c r="K6" i="1"/>
  <c r="AK6" i="35"/>
  <c r="B22" i="31"/>
  <c r="D6" i="31"/>
  <c r="R6" i="27"/>
  <c r="C6" i="15"/>
  <c r="AM6" i="8"/>
  <c r="V6" i="9"/>
  <c r="AI6" i="35"/>
  <c r="B19" i="31"/>
  <c r="B28" i="27"/>
  <c r="M6" i="27"/>
  <c r="AM6" i="33"/>
  <c r="AK6" i="8"/>
  <c r="T6" i="9"/>
  <c r="X6" i="35"/>
  <c r="B12" i="31"/>
  <c r="B19" i="27"/>
  <c r="AM6" i="15"/>
  <c r="AK6" i="33"/>
  <c r="AI6" i="8"/>
  <c r="D6" i="9"/>
  <c r="AM6" i="31"/>
  <c r="R6" i="8"/>
  <c r="R6" i="35"/>
  <c r="B9" i="31"/>
  <c r="B9" i="27"/>
  <c r="AK6" i="15"/>
  <c r="AI6" i="33"/>
  <c r="X6" i="8"/>
  <c r="U6" i="1"/>
  <c r="M6" i="35"/>
  <c r="AM6" i="27"/>
  <c r="AI6" i="15"/>
  <c r="X6" i="33"/>
  <c r="S6" i="1"/>
  <c r="C6" i="35"/>
  <c r="AK6" i="27"/>
  <c r="X6" i="15"/>
  <c r="M6" i="1"/>
  <c r="B31" i="31"/>
  <c r="AI6" i="31"/>
  <c r="AI6" i="27"/>
  <c r="S6" i="15"/>
  <c r="M6" i="33"/>
  <c r="C6" i="8"/>
  <c r="Z26" i="35" l="1"/>
  <c r="A21" i="32"/>
  <c r="A22" i="32"/>
  <c r="A23" i="32"/>
  <c r="F31" i="15"/>
  <c r="B3" i="32" l="1"/>
  <c r="G11" i="32" s="1"/>
  <c r="A4" i="34"/>
  <c r="B2" i="16"/>
  <c r="G10" i="16" s="1"/>
  <c r="A2" i="26"/>
  <c r="A18" i="30"/>
  <c r="A23" i="30"/>
  <c r="A4" i="7"/>
  <c r="A12" i="30"/>
  <c r="B15" i="7" l="1"/>
  <c r="B22" i="7"/>
  <c r="B23" i="7"/>
  <c r="A109" i="17"/>
  <c r="A93" i="17"/>
  <c r="A11" i="5"/>
  <c r="A32" i="5"/>
  <c r="B3" i="16"/>
  <c r="A5" i="7"/>
  <c r="A14" i="5"/>
  <c r="A15" i="5"/>
  <c r="A29" i="5"/>
  <c r="A27" i="5"/>
  <c r="A35" i="5"/>
  <c r="A19" i="5"/>
  <c r="A10" i="5"/>
  <c r="A25" i="5"/>
  <c r="A5" i="34"/>
  <c r="A33" i="5"/>
  <c r="A23" i="17"/>
  <c r="A28" i="5"/>
  <c r="A12" i="17"/>
  <c r="B4" i="32"/>
  <c r="A29" i="17"/>
  <c r="B8" i="32"/>
  <c r="A16" i="5"/>
  <c r="A20" i="5"/>
  <c r="A24" i="17"/>
  <c r="A9" i="34"/>
  <c r="A13" i="17"/>
  <c r="A31" i="5"/>
  <c r="A8" i="5"/>
  <c r="A36" i="5"/>
  <c r="A2" i="30"/>
  <c r="A12" i="5"/>
  <c r="A23" i="5"/>
  <c r="A6" i="5"/>
  <c r="A6" i="34"/>
  <c r="A9" i="7"/>
  <c r="A37" i="5"/>
  <c r="A7" i="5"/>
  <c r="A18" i="5"/>
  <c r="A6" i="7"/>
  <c r="A36" i="17"/>
  <c r="A25" i="17"/>
  <c r="A24" i="5"/>
  <c r="A4" i="5"/>
  <c r="E28" i="7" l="1"/>
  <c r="D28" i="7"/>
  <c r="A8" i="7"/>
  <c r="A7" i="7"/>
  <c r="B5" i="32"/>
  <c r="B4" i="16"/>
  <c r="C6" i="7"/>
  <c r="B7" i="32"/>
  <c r="B13" i="7"/>
  <c r="B14" i="7"/>
  <c r="B21" i="7"/>
  <c r="S14" i="7"/>
  <c r="K14" i="7"/>
  <c r="A22" i="30"/>
  <c r="A11" i="30"/>
  <c r="A28" i="8"/>
  <c r="A10" i="32"/>
  <c r="B6" i="16"/>
  <c r="A12" i="32"/>
  <c r="E28" i="32" s="1"/>
  <c r="A10" i="16"/>
  <c r="D14" i="16" s="1"/>
  <c r="P30" i="15" s="1"/>
  <c r="J12" i="34"/>
  <c r="A13" i="34"/>
  <c r="A21" i="34"/>
  <c r="B6" i="32"/>
  <c r="B19" i="5"/>
  <c r="B7" i="5"/>
  <c r="B36" i="5"/>
  <c r="B28" i="5"/>
  <c r="B11" i="5"/>
  <c r="B32" i="5"/>
  <c r="B15" i="5"/>
  <c r="B24" i="5"/>
  <c r="L5" i="16"/>
  <c r="I5" i="16"/>
  <c r="P5" i="16"/>
  <c r="G5" i="16"/>
  <c r="C15" i="16" s="1"/>
  <c r="Q5" i="16"/>
  <c r="O5" i="16"/>
  <c r="M5" i="16"/>
  <c r="N5" i="16"/>
  <c r="J5" i="16"/>
  <c r="K5" i="16"/>
  <c r="H5" i="16"/>
  <c r="A14" i="34"/>
  <c r="A22" i="34"/>
  <c r="I16" i="34"/>
  <c r="B29" i="5"/>
  <c r="B33" i="5"/>
  <c r="B16" i="5"/>
  <c r="B20" i="5"/>
  <c r="B25" i="5"/>
  <c r="B37" i="5"/>
  <c r="B12" i="5"/>
  <c r="B8" i="5"/>
  <c r="C10" i="26"/>
  <c r="I16" i="26"/>
  <c r="C4" i="26"/>
  <c r="I10" i="26"/>
  <c r="I4" i="26"/>
  <c r="AB8" i="27"/>
  <c r="A6" i="26"/>
  <c r="I8" i="30"/>
  <c r="B8" i="30"/>
  <c r="A15" i="34"/>
  <c r="N12" i="34"/>
  <c r="M12" i="34"/>
  <c r="L12" i="34"/>
  <c r="A23" i="34"/>
  <c r="P12" i="34"/>
  <c r="J16" i="7"/>
  <c r="A14" i="7"/>
  <c r="A22" i="7"/>
  <c r="A9" i="16"/>
  <c r="C14" i="16" s="1"/>
  <c r="C3" i="26"/>
  <c r="C9" i="26"/>
  <c r="I9" i="26"/>
  <c r="I15" i="26"/>
  <c r="I3" i="26"/>
  <c r="B22" i="30"/>
  <c r="I16" i="30"/>
  <c r="B10" i="30"/>
  <c r="I22" i="30"/>
  <c r="B16" i="30"/>
  <c r="I10" i="30"/>
  <c r="A21" i="7"/>
  <c r="C27" i="7" s="1"/>
  <c r="R12" i="7"/>
  <c r="A13" i="7"/>
  <c r="K12" i="7"/>
  <c r="L6" i="32"/>
  <c r="J6" i="32"/>
  <c r="H6" i="32"/>
  <c r="G6" i="32"/>
  <c r="O6" i="32"/>
  <c r="I6" i="32"/>
  <c r="N6" i="32"/>
  <c r="M6" i="32"/>
  <c r="K6" i="32"/>
  <c r="I11" i="26"/>
  <c r="C5" i="26"/>
  <c r="I17" i="26"/>
  <c r="C11" i="26"/>
  <c r="I5" i="26"/>
  <c r="I23" i="30"/>
  <c r="B11" i="30"/>
  <c r="I17" i="30"/>
  <c r="B17" i="30"/>
  <c r="I11" i="30"/>
  <c r="B23" i="30"/>
  <c r="B18" i="30"/>
  <c r="I24" i="30"/>
  <c r="B12" i="30"/>
  <c r="B24" i="30"/>
  <c r="I12" i="30"/>
  <c r="I18" i="30"/>
  <c r="A2" i="5"/>
  <c r="M12" i="7"/>
  <c r="S12" i="7"/>
  <c r="A15" i="7"/>
  <c r="N12" i="7"/>
  <c r="Q12" i="7"/>
  <c r="P12" i="7"/>
  <c r="O12" i="7"/>
  <c r="A23" i="7"/>
  <c r="A11" i="32"/>
  <c r="D28" i="32" s="1"/>
  <c r="P31" i="33" s="1"/>
  <c r="B5" i="16"/>
  <c r="B10" i="26"/>
  <c r="A7" i="34"/>
  <c r="A11" i="16"/>
  <c r="E14" i="16" s="1"/>
  <c r="B4" i="26"/>
  <c r="A17" i="30"/>
  <c r="A8" i="34"/>
  <c r="A5" i="26"/>
  <c r="B16" i="26"/>
  <c r="I13" i="30"/>
  <c r="AB8" i="31"/>
  <c r="B19" i="30"/>
  <c r="I19" i="30"/>
  <c r="B21" i="34"/>
  <c r="B22" i="34"/>
  <c r="B13" i="34"/>
  <c r="B14" i="34"/>
  <c r="J14" i="34"/>
  <c r="B11" i="34"/>
  <c r="I11" i="34"/>
  <c r="C19" i="16"/>
  <c r="E15" i="7"/>
  <c r="F18" i="30"/>
  <c r="D33" i="5"/>
  <c r="C19" i="5"/>
  <c r="K36" i="5"/>
  <c r="E22" i="34"/>
  <c r="E4" i="26"/>
  <c r="E13" i="34"/>
  <c r="F10" i="26"/>
  <c r="O4" i="26"/>
  <c r="E16" i="5"/>
  <c r="H37" i="5"/>
  <c r="A76" i="17" a="1"/>
  <c r="J29" i="5"/>
  <c r="D22" i="30"/>
  <c r="E11" i="5"/>
  <c r="L28" i="5"/>
  <c r="A119" i="17" a="1"/>
  <c r="E33" i="5"/>
  <c r="K12" i="30"/>
  <c r="K4" i="26"/>
  <c r="K16" i="30"/>
  <c r="F24" i="30"/>
  <c r="N16" i="5"/>
  <c r="F37" i="5"/>
  <c r="J8" i="5"/>
  <c r="C12" i="30"/>
  <c r="O16" i="26"/>
  <c r="L10" i="26"/>
  <c r="L17" i="30"/>
  <c r="F15" i="5"/>
  <c r="H24" i="5"/>
  <c r="A55" i="17" a="1"/>
  <c r="M12" i="30"/>
  <c r="M22" i="30"/>
  <c r="M18" i="30"/>
  <c r="A65" i="17" a="1"/>
  <c r="A118" i="17"/>
  <c r="K29" i="5"/>
  <c r="H12" i="5"/>
  <c r="K10" i="26"/>
  <c r="F8" i="5"/>
  <c r="L15" i="5"/>
  <c r="E15" i="5"/>
  <c r="M19" i="5"/>
  <c r="N19" i="5"/>
  <c r="L11" i="30"/>
  <c r="J4" i="26"/>
  <c r="H28" i="5"/>
  <c r="J25" i="5"/>
  <c r="K20" i="5"/>
  <c r="A113" i="17" a="1"/>
  <c r="M15" i="7"/>
  <c r="C9" i="16"/>
  <c r="D9" i="16"/>
  <c r="E10" i="32"/>
  <c r="O15" i="7"/>
  <c r="C17" i="16"/>
  <c r="D15" i="7"/>
  <c r="E18" i="30"/>
  <c r="I19" i="5"/>
  <c r="F15" i="34"/>
  <c r="I16" i="5"/>
  <c r="C13" i="34"/>
  <c r="J10" i="26"/>
  <c r="F22" i="34"/>
  <c r="O15" i="26"/>
  <c r="D9" i="26"/>
  <c r="L8" i="5"/>
  <c r="D32" i="5"/>
  <c r="M11" i="5"/>
  <c r="N7" i="5"/>
  <c r="E22" i="30"/>
  <c r="E7" i="5"/>
  <c r="M29" i="5"/>
  <c r="A47" i="17" a="1"/>
  <c r="G36" i="5"/>
  <c r="E10" i="30"/>
  <c r="M11" i="26"/>
  <c r="O16" i="30"/>
  <c r="J36" i="5"/>
  <c r="M15" i="5"/>
  <c r="K33" i="5"/>
  <c r="E19" i="5"/>
  <c r="L12" i="30"/>
  <c r="D10" i="26"/>
  <c r="D5" i="26"/>
  <c r="J17" i="30"/>
  <c r="G19" i="5"/>
  <c r="A91" i="17" a="1"/>
  <c r="A87" i="17" a="1"/>
  <c r="M11" i="30"/>
  <c r="K22" i="30"/>
  <c r="L18" i="30"/>
  <c r="L7" i="5"/>
  <c r="J20" i="5"/>
  <c r="H33" i="5"/>
  <c r="D21" i="34"/>
  <c r="G10" i="26"/>
  <c r="K11" i="26"/>
  <c r="N33" i="5"/>
  <c r="A66" i="17" a="1"/>
  <c r="M25" i="5"/>
  <c r="J28" i="5"/>
  <c r="J11" i="26"/>
  <c r="K9" i="26"/>
  <c r="L32" i="5"/>
  <c r="K12" i="5"/>
  <c r="E25" i="5"/>
  <c r="A96" i="17" a="1"/>
  <c r="S15" i="7"/>
  <c r="E11" i="16"/>
  <c r="E10" i="16"/>
  <c r="B10" i="32"/>
  <c r="E29" i="5"/>
  <c r="J3" i="26"/>
  <c r="D15" i="5"/>
  <c r="K25" i="5"/>
  <c r="H7" i="5"/>
  <c r="Q16" i="7"/>
  <c r="B9" i="16"/>
  <c r="C33" i="5"/>
  <c r="N36" i="5"/>
  <c r="G16" i="5"/>
  <c r="A102" i="17"/>
  <c r="D11" i="5"/>
  <c r="H20" i="5"/>
  <c r="J19" i="5"/>
  <c r="I20" i="5"/>
  <c r="L24" i="5"/>
  <c r="M4" i="26"/>
  <c r="M36" i="5"/>
  <c r="C21" i="34"/>
  <c r="E23" i="30"/>
  <c r="N11" i="5"/>
  <c r="N37" i="5"/>
  <c r="C11" i="16"/>
  <c r="K24" i="30"/>
  <c r="E20" i="5"/>
  <c r="M16" i="7"/>
  <c r="D10" i="16"/>
  <c r="C22" i="7"/>
  <c r="D22" i="7"/>
  <c r="L21" i="7"/>
  <c r="F22" i="7"/>
  <c r="E22" i="7"/>
  <c r="C18" i="30"/>
  <c r="G25" i="5"/>
  <c r="O5" i="26"/>
  <c r="M7" i="5"/>
  <c r="F9" i="26"/>
  <c r="K28" i="5"/>
  <c r="K17" i="30"/>
  <c r="J12" i="30"/>
  <c r="F16" i="5"/>
  <c r="M16" i="5"/>
  <c r="M16" i="26"/>
  <c r="G37" i="5"/>
  <c r="F23" i="30"/>
  <c r="G8" i="5"/>
  <c r="F21" i="7"/>
  <c r="K21" i="7"/>
  <c r="C21" i="7"/>
  <c r="D21" i="7"/>
  <c r="E21" i="7"/>
  <c r="C23" i="7"/>
  <c r="F23" i="7"/>
  <c r="E23" i="7"/>
  <c r="S21" i="7"/>
  <c r="D23" i="7"/>
  <c r="C18" i="16"/>
  <c r="C15" i="7"/>
  <c r="D18" i="30"/>
  <c r="G15" i="5"/>
  <c r="H29" i="5"/>
  <c r="H11" i="5"/>
  <c r="C14" i="34"/>
  <c r="J9" i="26"/>
  <c r="G13" i="34"/>
  <c r="J17" i="26"/>
  <c r="D4" i="26"/>
  <c r="L19" i="5"/>
  <c r="L29" i="5"/>
  <c r="N32" i="5"/>
  <c r="D15" i="34"/>
  <c r="C22" i="30"/>
  <c r="E15" i="34"/>
  <c r="N28" i="5"/>
  <c r="F32" i="5"/>
  <c r="L37" i="5"/>
  <c r="O12" i="30"/>
  <c r="F11" i="26"/>
  <c r="M16" i="30"/>
  <c r="C28" i="5"/>
  <c r="E37" i="5"/>
  <c r="A112" i="17" a="1"/>
  <c r="E32" i="5"/>
  <c r="O11" i="30"/>
  <c r="G11" i="26"/>
  <c r="E14" i="34"/>
  <c r="G12" i="5"/>
  <c r="K16" i="5"/>
  <c r="H8" i="5"/>
  <c r="J15" i="5"/>
  <c r="L15" i="26"/>
  <c r="J22" i="30"/>
  <c r="J18" i="30"/>
  <c r="I25" i="5"/>
  <c r="I11" i="5"/>
  <c r="J32" i="5"/>
  <c r="E23" i="34"/>
  <c r="O9" i="26"/>
  <c r="D16" i="30"/>
  <c r="F25" i="5"/>
  <c r="A51" i="17" a="1"/>
  <c r="D20" i="5"/>
  <c r="L33" i="5"/>
  <c r="L15" i="7"/>
  <c r="B10" i="16"/>
  <c r="D10" i="32"/>
  <c r="E12" i="32"/>
  <c r="K17" i="26"/>
  <c r="D11" i="26"/>
  <c r="L17" i="26"/>
  <c r="G5" i="26"/>
  <c r="N29" i="5"/>
  <c r="F33" i="5"/>
  <c r="A52" i="17" a="1"/>
  <c r="I8" i="5"/>
  <c r="E3" i="26"/>
  <c r="K8" i="5"/>
  <c r="B12" i="32"/>
  <c r="M3" i="26"/>
  <c r="D16" i="5"/>
  <c r="N16" i="7"/>
  <c r="F28" i="5"/>
  <c r="I28" i="5"/>
  <c r="M12" i="5"/>
  <c r="K10" i="30"/>
  <c r="N24" i="5"/>
  <c r="E17" i="30"/>
  <c r="F12" i="30"/>
  <c r="J7" i="5"/>
  <c r="A117" i="17" a="1"/>
  <c r="L9" i="26"/>
  <c r="I36" i="5"/>
  <c r="H25" i="5"/>
  <c r="K11" i="5"/>
  <c r="F3" i="26"/>
  <c r="F22" i="30"/>
  <c r="K16" i="26"/>
  <c r="J37" i="5"/>
  <c r="F11" i="30"/>
  <c r="K15" i="7"/>
  <c r="B11" i="32"/>
  <c r="C16" i="16"/>
  <c r="E13" i="7"/>
  <c r="F14" i="7"/>
  <c r="C11" i="5"/>
  <c r="F36" i="5"/>
  <c r="N20" i="5"/>
  <c r="M28" i="5"/>
  <c r="J10" i="30"/>
  <c r="J5" i="26"/>
  <c r="J11" i="30"/>
  <c r="M15" i="26"/>
  <c r="L24" i="30"/>
  <c r="A85" i="17" a="1"/>
  <c r="A101" i="17" a="1"/>
  <c r="H36" i="5"/>
  <c r="I7" i="5"/>
  <c r="J23" i="30"/>
  <c r="A107" i="17" a="1"/>
  <c r="A108" i="17" a="1"/>
  <c r="C7" i="5"/>
  <c r="D12" i="5"/>
  <c r="F4" i="26"/>
  <c r="K15" i="26"/>
  <c r="J16" i="30"/>
  <c r="C16" i="5"/>
  <c r="C20" i="5"/>
  <c r="G32" i="5"/>
  <c r="C8" i="5"/>
  <c r="K11" i="30"/>
  <c r="K5" i="26"/>
  <c r="E12" i="30"/>
  <c r="I12" i="5"/>
  <c r="K15" i="5"/>
  <c r="I29" i="5"/>
  <c r="C36" i="5"/>
  <c r="L11" i="26"/>
  <c r="C17" i="30"/>
  <c r="K18" i="30"/>
  <c r="D8" i="5"/>
  <c r="F20" i="5"/>
  <c r="A75" i="17" a="1"/>
  <c r="D13" i="34"/>
  <c r="G4" i="26"/>
  <c r="F16" i="30"/>
  <c r="G28" i="5"/>
  <c r="N12" i="5"/>
  <c r="D28" i="5"/>
  <c r="D22" i="34"/>
  <c r="M9" i="26"/>
  <c r="G3" i="26"/>
  <c r="A80" i="17" a="1"/>
  <c r="A71" i="17" a="1"/>
  <c r="M32" i="5"/>
  <c r="Q15" i="7"/>
  <c r="P16" i="7"/>
  <c r="B11" i="16"/>
  <c r="C10" i="16"/>
  <c r="L12" i="5"/>
  <c r="G9" i="26"/>
  <c r="L16" i="30"/>
  <c r="C25" i="5"/>
  <c r="F12" i="5"/>
  <c r="J11" i="5"/>
  <c r="F17" i="30"/>
  <c r="D11" i="30"/>
  <c r="E16" i="30"/>
  <c r="I24" i="5"/>
  <c r="M24" i="5"/>
  <c r="N15" i="7"/>
  <c r="E9" i="16"/>
  <c r="G7" i="5"/>
  <c r="D11" i="32"/>
  <c r="E28" i="5"/>
  <c r="A103" i="17" a="1"/>
  <c r="E24" i="30"/>
  <c r="D23" i="34"/>
  <c r="C37" i="5"/>
  <c r="I32" i="5"/>
  <c r="L22" i="30"/>
  <c r="D23" i="30"/>
  <c r="E11" i="32"/>
  <c r="K3" i="26"/>
  <c r="A72" i="17" a="1"/>
  <c r="L23" i="30"/>
  <c r="H16" i="5"/>
  <c r="D24" i="30"/>
  <c r="A48" i="17" a="1"/>
  <c r="L5" i="26"/>
  <c r="E36" i="5"/>
  <c r="J12" i="5"/>
  <c r="O18" i="30"/>
  <c r="L16" i="5"/>
  <c r="C13" i="7"/>
  <c r="E14" i="7"/>
  <c r="C24" i="5"/>
  <c r="K37" i="5"/>
  <c r="H19" i="5"/>
  <c r="M37" i="5"/>
  <c r="E11" i="30"/>
  <c r="O3" i="26"/>
  <c r="L10" i="30"/>
  <c r="M5" i="26"/>
  <c r="M24" i="30"/>
  <c r="D24" i="5"/>
  <c r="F19" i="5"/>
  <c r="M23" i="30"/>
  <c r="H32" i="5"/>
  <c r="C32" i="5"/>
  <c r="A92" i="17" a="1"/>
  <c r="O16" i="7"/>
  <c r="C12" i="32"/>
  <c r="C23" i="30"/>
  <c r="C10" i="32"/>
  <c r="I37" i="5"/>
  <c r="K23" i="30"/>
  <c r="G33" i="5"/>
  <c r="O10" i="26"/>
  <c r="C12" i="5"/>
  <c r="D37" i="5"/>
  <c r="M10" i="30"/>
  <c r="C15" i="34"/>
  <c r="K7" i="5"/>
  <c r="R15" i="7"/>
  <c r="D12" i="32"/>
  <c r="F15" i="7"/>
  <c r="F13" i="7"/>
  <c r="C14" i="7"/>
  <c r="C29" i="5"/>
  <c r="G20" i="5"/>
  <c r="N25" i="5"/>
  <c r="N8" i="5"/>
  <c r="C11" i="30"/>
  <c r="D3" i="26"/>
  <c r="D12" i="30"/>
  <c r="M17" i="26"/>
  <c r="O24" i="30"/>
  <c r="K24" i="5"/>
  <c r="F11" i="5"/>
  <c r="D36" i="5"/>
  <c r="O10" i="30"/>
  <c r="O23" i="30"/>
  <c r="N15" i="5"/>
  <c r="G15" i="34"/>
  <c r="D29" i="5"/>
  <c r="C22" i="34"/>
  <c r="E5" i="26"/>
  <c r="E9" i="26"/>
  <c r="C24" i="30"/>
  <c r="D19" i="5"/>
  <c r="M33" i="5"/>
  <c r="J33" i="5"/>
  <c r="A56" i="17" a="1"/>
  <c r="F5" i="26"/>
  <c r="F21" i="34"/>
  <c r="O17" i="30"/>
  <c r="A97" i="17" a="1"/>
  <c r="E8" i="5"/>
  <c r="G11" i="5"/>
  <c r="D14" i="34"/>
  <c r="F10" i="30"/>
  <c r="D17" i="30"/>
  <c r="D25" i="5"/>
  <c r="F29" i="5"/>
  <c r="K32" i="5"/>
  <c r="A60" i="17" a="1"/>
  <c r="D10" i="30"/>
  <c r="E11" i="26"/>
  <c r="C16" i="30"/>
  <c r="I15" i="5"/>
  <c r="L11" i="5"/>
  <c r="C15" i="5"/>
  <c r="F13" i="34"/>
  <c r="P15" i="7"/>
  <c r="O11" i="26"/>
  <c r="F14" i="34"/>
  <c r="E21" i="34"/>
  <c r="G29" i="5"/>
  <c r="L20" i="5"/>
  <c r="J15" i="26"/>
  <c r="M17" i="30"/>
  <c r="G14" i="34"/>
  <c r="J24" i="5"/>
  <c r="K19" i="5"/>
  <c r="F24" i="5"/>
  <c r="L3" i="26"/>
  <c r="E12" i="5"/>
  <c r="G24" i="5"/>
  <c r="J24" i="30"/>
  <c r="M8" i="5"/>
  <c r="J16" i="5"/>
  <c r="H15" i="5"/>
  <c r="C10" i="30"/>
  <c r="L36" i="5"/>
  <c r="C23" i="34"/>
  <c r="M10" i="26"/>
  <c r="E24" i="5"/>
  <c r="O22" i="30"/>
  <c r="A81" i="17" a="1"/>
  <c r="J16" i="26"/>
  <c r="M20" i="5"/>
  <c r="A86" i="17" a="1"/>
  <c r="E10" i="26"/>
  <c r="F7" i="5"/>
  <c r="L25" i="5"/>
  <c r="D11" i="16"/>
  <c r="C11" i="32"/>
  <c r="D13" i="7"/>
  <c r="D14" i="7"/>
  <c r="A70" i="17" a="1"/>
  <c r="A61" i="17" a="1"/>
  <c r="I33" i="5"/>
  <c r="D7" i="5"/>
  <c r="O17" i="26"/>
  <c r="L16" i="26"/>
  <c r="L4" i="26"/>
  <c r="F23" i="34"/>
  <c r="N31" i="15" l="1"/>
  <c r="AK28" i="8"/>
  <c r="AC28" i="8"/>
  <c r="AD28" i="8"/>
  <c r="N32" i="15"/>
  <c r="N34" i="15"/>
  <c r="B22" i="32"/>
  <c r="B23" i="32"/>
  <c r="C29" i="32"/>
  <c r="N31" i="33" s="1"/>
  <c r="B21" i="32"/>
  <c r="N30" i="15"/>
  <c r="E27" i="7"/>
  <c r="C28" i="7"/>
  <c r="D27" i="7"/>
  <c r="R31" i="8"/>
  <c r="E15" i="16"/>
  <c r="D15" i="16"/>
  <c r="D29" i="32"/>
  <c r="E29" i="32"/>
  <c r="A28" i="33"/>
  <c r="C28" i="32"/>
  <c r="H6" i="16"/>
  <c r="Q6" i="16"/>
  <c r="G6" i="16"/>
  <c r="O7" i="32"/>
  <c r="G7" i="32"/>
  <c r="H7" i="32"/>
  <c r="A96" i="17"/>
  <c r="A113" i="17"/>
  <c r="A75" i="17"/>
  <c r="A51" i="17"/>
  <c r="B51" i="17" s="1"/>
  <c r="F22" i="1" s="1"/>
  <c r="A108" i="17"/>
  <c r="A71" i="17"/>
  <c r="A112" i="17"/>
  <c r="A107" i="17"/>
  <c r="A86" i="17"/>
  <c r="A117" i="17"/>
  <c r="A120" i="17" s="1"/>
  <c r="A55" i="17"/>
  <c r="B55" i="17" s="1"/>
  <c r="F35" i="1" s="1"/>
  <c r="A119" i="17"/>
  <c r="A101" i="17"/>
  <c r="A104" i="17" s="1"/>
  <c r="A66" i="17"/>
  <c r="A65" i="17"/>
  <c r="A85" i="17"/>
  <c r="A47" i="17"/>
  <c r="B47" i="17" s="1"/>
  <c r="F12" i="1" s="1"/>
  <c r="A52" i="17"/>
  <c r="G24" i="1" s="1"/>
  <c r="A48" i="17"/>
  <c r="G14" i="1" s="1"/>
  <c r="A91" i="17"/>
  <c r="A81" i="17"/>
  <c r="A97" i="17"/>
  <c r="A70" i="17"/>
  <c r="A56" i="17"/>
  <c r="G37" i="1" s="1"/>
  <c r="A87" i="17"/>
  <c r="A103" i="17"/>
  <c r="A76" i="17"/>
  <c r="A61" i="17"/>
  <c r="A92" i="17"/>
  <c r="A72" i="17"/>
  <c r="A80" i="17"/>
  <c r="A60" i="17"/>
  <c r="U26" i="35"/>
  <c r="P26" i="35"/>
  <c r="L26" i="35"/>
  <c r="G26" i="35"/>
  <c r="K28" i="8"/>
  <c r="T28" i="8"/>
  <c r="F28" i="8"/>
  <c r="O28" i="8"/>
  <c r="J26" i="35"/>
  <c r="S26" i="35"/>
  <c r="E26" i="35"/>
  <c r="N26" i="35"/>
  <c r="J28" i="8"/>
  <c r="E28" i="8"/>
  <c r="N28" i="8"/>
  <c r="S28" i="8"/>
  <c r="K26" i="35"/>
  <c r="O26" i="35"/>
  <c r="F26" i="35"/>
  <c r="T26" i="35"/>
  <c r="R28" i="8"/>
  <c r="D28" i="8"/>
  <c r="M28" i="8"/>
  <c r="I28" i="8"/>
  <c r="H8" i="16"/>
  <c r="G8" i="16"/>
  <c r="N8" i="16"/>
  <c r="N9" i="32"/>
  <c r="L9" i="32"/>
  <c r="O9" i="32"/>
  <c r="I9" i="32"/>
  <c r="M9" i="32"/>
  <c r="K9" i="32"/>
  <c r="J9" i="32"/>
  <c r="H10" i="32"/>
  <c r="N10" i="32"/>
  <c r="L10" i="32"/>
  <c r="K10" i="32"/>
  <c r="I10" i="32"/>
  <c r="O10" i="32"/>
  <c r="M10" i="32"/>
  <c r="J10" i="32"/>
  <c r="G10" i="32"/>
  <c r="C16" i="26"/>
  <c r="C17" i="26"/>
  <c r="H9" i="32"/>
  <c r="M13" i="34"/>
  <c r="K13" i="34"/>
  <c r="P13" i="34"/>
  <c r="O13" i="34"/>
  <c r="N13" i="34"/>
  <c r="J13" i="34"/>
  <c r="L13" i="34"/>
  <c r="O9" i="16"/>
  <c r="G9" i="16"/>
  <c r="M9" i="16"/>
  <c r="I9" i="16"/>
  <c r="Q9" i="16"/>
  <c r="N9" i="16"/>
  <c r="L9" i="16"/>
  <c r="J9" i="16"/>
  <c r="H9" i="16"/>
  <c r="P9" i="16"/>
  <c r="K9" i="16"/>
  <c r="G9" i="32"/>
  <c r="O8" i="16"/>
  <c r="M8" i="16"/>
  <c r="K8" i="16"/>
  <c r="Q8" i="16"/>
  <c r="P8" i="16"/>
  <c r="J8" i="16"/>
  <c r="L8" i="16"/>
  <c r="I8" i="16"/>
  <c r="C15" i="26"/>
  <c r="D16" i="16"/>
  <c r="E18" i="16"/>
  <c r="C30" i="32"/>
  <c r="E33" i="32"/>
  <c r="O12" i="32"/>
  <c r="J11" i="16"/>
  <c r="N11" i="16"/>
  <c r="J12" i="32"/>
  <c r="Q11" i="16"/>
  <c r="P15" i="34"/>
  <c r="I11" i="16"/>
  <c r="E32" i="32"/>
  <c r="K15" i="34"/>
  <c r="L11" i="16"/>
  <c r="H11" i="16"/>
  <c r="G21" i="32"/>
  <c r="D21" i="32"/>
  <c r="C21" i="32"/>
  <c r="E21" i="32"/>
  <c r="F21" i="32"/>
  <c r="D19" i="16"/>
  <c r="D33" i="32"/>
  <c r="E31" i="32"/>
  <c r="I12" i="32"/>
  <c r="M12" i="32"/>
  <c r="G17" i="26"/>
  <c r="N15" i="34"/>
  <c r="G11" i="16"/>
  <c r="L15" i="34"/>
  <c r="E17" i="26"/>
  <c r="F17" i="26"/>
  <c r="G12" i="32"/>
  <c r="O11" i="16"/>
  <c r="E15" i="26"/>
  <c r="D17" i="16"/>
  <c r="D32" i="32"/>
  <c r="E34" i="32"/>
  <c r="M15" i="34"/>
  <c r="H12" i="32"/>
  <c r="E34" i="7"/>
  <c r="E29" i="7"/>
  <c r="E33" i="7"/>
  <c r="E32" i="7"/>
  <c r="E30" i="7"/>
  <c r="E31" i="7"/>
  <c r="K21" i="34"/>
  <c r="D18" i="16"/>
  <c r="D34" i="32"/>
  <c r="G16" i="26"/>
  <c r="D15" i="26"/>
  <c r="E16" i="26"/>
  <c r="C34" i="32"/>
  <c r="L12" i="32"/>
  <c r="P11" i="16"/>
  <c r="C31" i="7"/>
  <c r="C29" i="7"/>
  <c r="C34" i="7"/>
  <c r="C30" i="7"/>
  <c r="C32" i="7"/>
  <c r="C33" i="7"/>
  <c r="P21" i="34"/>
  <c r="C32" i="32"/>
  <c r="D30" i="32"/>
  <c r="L16" i="34"/>
  <c r="K11" i="16"/>
  <c r="M11" i="16"/>
  <c r="F15" i="26"/>
  <c r="K12" i="32"/>
  <c r="F16" i="26"/>
  <c r="E22" i="32"/>
  <c r="F22" i="32"/>
  <c r="H21" i="32"/>
  <c r="C22" i="32"/>
  <c r="D22" i="32"/>
  <c r="E17" i="16"/>
  <c r="N16" i="34"/>
  <c r="D29" i="7"/>
  <c r="D33" i="7"/>
  <c r="D34" i="7"/>
  <c r="D30" i="7"/>
  <c r="D32" i="7"/>
  <c r="D31" i="7"/>
  <c r="C33" i="32"/>
  <c r="D31" i="32"/>
  <c r="D16" i="26"/>
  <c r="N12" i="32"/>
  <c r="M16" i="34"/>
  <c r="G15" i="26"/>
  <c r="C23" i="32"/>
  <c r="D23" i="32"/>
  <c r="O21" i="32"/>
  <c r="E23" i="32"/>
  <c r="F23" i="32"/>
  <c r="E16" i="16"/>
  <c r="J21" i="34"/>
  <c r="E19" i="16"/>
  <c r="C31" i="32"/>
  <c r="E30" i="32"/>
  <c r="J15" i="34"/>
  <c r="D17" i="26"/>
  <c r="A77" i="17" l="1"/>
  <c r="R34" i="15"/>
  <c r="AC26" i="35"/>
  <c r="R31" i="15"/>
  <c r="U28" i="33"/>
  <c r="P28" i="33"/>
  <c r="AK28" i="33"/>
  <c r="L28" i="33"/>
  <c r="G28" i="33"/>
  <c r="P34" i="8"/>
  <c r="P35" i="8"/>
  <c r="P33" i="8"/>
  <c r="P37" i="8"/>
  <c r="P36" i="8"/>
  <c r="P32" i="8"/>
  <c r="R32" i="15"/>
  <c r="K28" i="33"/>
  <c r="F28" i="33"/>
  <c r="AD28" i="33"/>
  <c r="T28" i="33"/>
  <c r="O28" i="33"/>
  <c r="AK26" i="35"/>
  <c r="N36" i="8"/>
  <c r="N35" i="8"/>
  <c r="N33" i="8"/>
  <c r="N37" i="8"/>
  <c r="N32" i="8"/>
  <c r="N34" i="8"/>
  <c r="P33" i="15"/>
  <c r="AD26" i="35"/>
  <c r="R34" i="8"/>
  <c r="R33" i="8"/>
  <c r="R35" i="8"/>
  <c r="R36" i="8"/>
  <c r="R32" i="8"/>
  <c r="R37" i="8"/>
  <c r="P32" i="15"/>
  <c r="P34" i="15"/>
  <c r="S28" i="33"/>
  <c r="N28" i="33"/>
  <c r="E28" i="33"/>
  <c r="J28" i="33"/>
  <c r="AC28" i="33"/>
  <c r="R33" i="15"/>
  <c r="P31" i="15"/>
  <c r="R30" i="15"/>
  <c r="P31" i="8"/>
  <c r="N31" i="8"/>
  <c r="R36" i="33"/>
  <c r="R33" i="33"/>
  <c r="R35" i="33"/>
  <c r="R32" i="33"/>
  <c r="R34" i="33"/>
  <c r="P33" i="33"/>
  <c r="P32" i="33"/>
  <c r="P36" i="33"/>
  <c r="P34" i="33"/>
  <c r="P35" i="33"/>
  <c r="N32" i="33"/>
  <c r="N33" i="33"/>
  <c r="N36" i="33"/>
  <c r="N35" i="33"/>
  <c r="N34" i="33"/>
  <c r="R31" i="33"/>
  <c r="A98" i="17"/>
  <c r="A82" i="17"/>
  <c r="A114" i="17"/>
  <c r="A67" i="17"/>
  <c r="A62" i="17"/>
  <c r="A88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<sst xmlns="http://schemas.openxmlformats.org/spreadsheetml/2006/main" count="458" uniqueCount="137">
  <si>
    <t>Month</t>
  </si>
  <si>
    <t>Cubo</t>
  </si>
  <si>
    <t>CONS_VC:DFS.200.KPIs</t>
  </si>
  <si>
    <t>CONS_VC:DFS.100.Profit_and_loss</t>
  </si>
  <si>
    <t>CONS_VC:DFS.140.Indirect_Cash_Flow</t>
  </si>
  <si>
    <t>CONS_VC:DFS.180.Gross_Debt</t>
  </si>
  <si>
    <t>CONS_VC:REV.100.Revenue_Consolidated</t>
  </si>
  <si>
    <t>Ano</t>
  </si>
  <si>
    <t>Mês</t>
  </si>
  <si>
    <t>Versão</t>
  </si>
  <si>
    <t>Currency</t>
  </si>
  <si>
    <t>Region</t>
  </si>
  <si>
    <t>Produto</t>
  </si>
  <si>
    <t>Accounts_PNL</t>
  </si>
  <si>
    <t>Net Profit</t>
  </si>
  <si>
    <t>Accounts_ICF</t>
  </si>
  <si>
    <t>Change in cash</t>
  </si>
  <si>
    <t>DFS.100.Profil_and_Loss</t>
  </si>
  <si>
    <t>Global EBITDA Month</t>
  </si>
  <si>
    <t>VCBR</t>
  </si>
  <si>
    <t>VCNA</t>
  </si>
  <si>
    <t>VCEA</t>
  </si>
  <si>
    <t>VCLatam</t>
  </si>
  <si>
    <t>Budget</t>
  </si>
  <si>
    <t>YTD</t>
  </si>
  <si>
    <t>Formato</t>
  </si>
  <si>
    <t>Global EBITDA YTD</t>
  </si>
  <si>
    <t>Full Year</t>
  </si>
  <si>
    <t>Global EBITDA Full Year</t>
  </si>
  <si>
    <t>Regions</t>
  </si>
  <si>
    <t>L300</t>
  </si>
  <si>
    <t>RF</t>
  </si>
  <si>
    <t>EBITDA Econômico</t>
  </si>
  <si>
    <t>VCEAA</t>
  </si>
  <si>
    <t>VCLATAM</t>
  </si>
  <si>
    <t>ALL.D.Year</t>
  </si>
  <si>
    <t>ALL.D.Currency</t>
  </si>
  <si>
    <t>ALL.D.Region</t>
  </si>
  <si>
    <t>Global</t>
  </si>
  <si>
    <t>VCOTHERS</t>
  </si>
  <si>
    <t>Jan</t>
  </si>
  <si>
    <t>Mar</t>
  </si>
  <si>
    <t>Feb</t>
  </si>
  <si>
    <t>Apr</t>
  </si>
  <si>
    <t>May</t>
  </si>
  <si>
    <t>Jun</t>
  </si>
  <si>
    <t>Aug</t>
  </si>
  <si>
    <t>Sep</t>
  </si>
  <si>
    <t>Oct</t>
  </si>
  <si>
    <t>Nov</t>
  </si>
  <si>
    <t>Dec</t>
  </si>
  <si>
    <t>Jul</t>
  </si>
  <si>
    <t>Others</t>
  </si>
  <si>
    <t>FX</t>
  </si>
  <si>
    <t>Year</t>
  </si>
  <si>
    <t>Q1</t>
  </si>
  <si>
    <t>Q2</t>
  </si>
  <si>
    <t>Q3</t>
  </si>
  <si>
    <t>Q4</t>
  </si>
  <si>
    <t>EBITDA/Net Revenue (%)</t>
  </si>
  <si>
    <t>DFS.M.140.Indirect_Cash_Flow</t>
  </si>
  <si>
    <t>DFS.D.Accounts_ICF</t>
  </si>
  <si>
    <t>Year:</t>
  </si>
  <si>
    <t>Product:</t>
  </si>
  <si>
    <t>Fx</t>
  </si>
  <si>
    <t>Empresa</t>
  </si>
  <si>
    <t>Quarter View</t>
  </si>
  <si>
    <t>Full Year View</t>
  </si>
  <si>
    <t>L500</t>
  </si>
  <si>
    <t>EBITDA</t>
  </si>
  <si>
    <t>Financial Results</t>
  </si>
  <si>
    <t>FX/Others</t>
  </si>
  <si>
    <t xml:space="preserve"> QoQ Overview</t>
  </si>
  <si>
    <t>QoQ Overview</t>
  </si>
  <si>
    <t>Total Products</t>
  </si>
  <si>
    <t>Version</t>
  </si>
  <si>
    <t>Depreciation</t>
  </si>
  <si>
    <t>Equity Pickup</t>
  </si>
  <si>
    <t>Income Tax</t>
  </si>
  <si>
    <t>Variable costs</t>
  </si>
  <si>
    <t>CONS_VC:DFS.100.Profit_and_Loss</t>
  </si>
  <si>
    <t xml:space="preserve">Sales Volumes </t>
  </si>
  <si>
    <t>Sales Volume [kt]</t>
  </si>
  <si>
    <t>Price Premium [$/ton]</t>
  </si>
  <si>
    <t>Total Market</t>
  </si>
  <si>
    <t>Sales Volumes</t>
  </si>
  <si>
    <t>2025</t>
  </si>
  <si>
    <t>Tax</t>
  </si>
  <si>
    <t>WK</t>
  </si>
  <si>
    <t>CAPEX</t>
  </si>
  <si>
    <t>Div.</t>
  </si>
  <si>
    <t>Fin. Results</t>
  </si>
  <si>
    <t>Working capital</t>
  </si>
  <si>
    <t>Invest.</t>
  </si>
  <si>
    <t>Income tax on transactions</t>
  </si>
  <si>
    <t>Expansion capex</t>
  </si>
  <si>
    <t>Dividends received</t>
  </si>
  <si>
    <t>Invested Cash</t>
  </si>
  <si>
    <t>All.d.Products</t>
  </si>
  <si>
    <t>Var. Cost</t>
  </si>
  <si>
    <t>FC +SG&amp;A</t>
  </si>
  <si>
    <t>Fx/Others</t>
  </si>
  <si>
    <t>FY</t>
  </si>
  <si>
    <t>Operational expenses</t>
  </si>
  <si>
    <t>Deprec.</t>
  </si>
  <si>
    <t>Quarterly Account Analysis by Region</t>
  </si>
  <si>
    <t>Volumes</t>
  </si>
  <si>
    <t>Price</t>
  </si>
  <si>
    <t>Volume &amp; Prices - Overview</t>
  </si>
  <si>
    <t>Volume | Price</t>
  </si>
  <si>
    <t>Region | Product</t>
  </si>
  <si>
    <t>VCBR (BRL)</t>
  </si>
  <si>
    <t>VCLatam (USD)</t>
  </si>
  <si>
    <t>VCEA (EUR)</t>
  </si>
  <si>
    <t>VCNA (USD)</t>
  </si>
  <si>
    <t>Summary - Regions EBITDA</t>
  </si>
  <si>
    <t>Net Revenue</t>
  </si>
  <si>
    <t>Sustainable Cash Flow</t>
  </si>
  <si>
    <t>Cash generation before financing</t>
  </si>
  <si>
    <t>Adj EBITDA LTM</t>
  </si>
  <si>
    <t>BRL</t>
  </si>
  <si>
    <t>Avg. FX BRL/EUR</t>
  </si>
  <si>
    <t>IPCA</t>
  </si>
  <si>
    <t>CPI EUR</t>
  </si>
  <si>
    <t>PACE (USD)</t>
  </si>
  <si>
    <t>Value</t>
  </si>
  <si>
    <t>CONS_VC:ALL.010.Economic_Assumptions</t>
  </si>
  <si>
    <t>Average FX Rate R$/US$</t>
  </si>
  <si>
    <t>American CPI</t>
  </si>
  <si>
    <t>VCI+Others</t>
  </si>
  <si>
    <t>VCothers</t>
  </si>
  <si>
    <t xml:space="preserve">Final Net Debt </t>
  </si>
  <si>
    <t>Sustainable Cash Flow / EBITDA</t>
  </si>
  <si>
    <t>Net Debt in BRL Bi</t>
  </si>
  <si>
    <t>Net Debt/Adj. EBITDA</t>
  </si>
  <si>
    <t>Avg.FX Rate R$/US$</t>
  </si>
  <si>
    <t>Brazilian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</si>
</sst>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_-#,##0_-;\-#,##0_-;_-&quot;-&quot;_-;_-@_-"/>
    <numFmt numFmtId="166" formatCode="#,##0_);\(#,##0\)"/>
    <numFmt numFmtId="167" formatCode="0.00\x"/>
    <numFmt numFmtId="168" formatCode="0.0%"/>
  </numFmts>
  <fonts count="7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3A3A99"/>
      <name val="Aptos Narrow"/>
      <family val="2"/>
      <scheme val="minor"/>
    </font>
    <font>
      <sz val="10.5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0.5"/>
      <color indexed="21"/>
      <name val="Calibri"/>
      <family val="2"/>
    </font>
    <font>
      <sz val="8"/>
      <name val="Aptos Narrow"/>
      <family val="2"/>
      <scheme val="minor"/>
    </font>
    <font>
      <b/>
      <sz val="20"/>
      <color rgb="FF0000BF"/>
      <name val="Votorantim Sans"/>
    </font>
    <font>
      <sz val="11"/>
      <color theme="1"/>
      <name val="Aptos Narrow"/>
      <family val="2"/>
    </font>
    <font>
      <sz val="10"/>
      <color theme="1"/>
      <name val="Votorantim Sans"/>
    </font>
    <font>
      <b/>
      <sz val="14"/>
      <color rgb="FF000000"/>
      <name val="Votorantim Sans"/>
    </font>
    <font>
      <sz val="10"/>
      <color theme="1"/>
      <name val="Aptos Narrow"/>
      <family val="2"/>
      <scheme val="minor"/>
    </font>
    <font>
      <sz val="10"/>
      <color rgb="FFC0C0C0"/>
      <name val="Aptos Narrow"/>
      <family val="2"/>
      <scheme val="minor"/>
    </font>
    <font>
      <sz val="10"/>
      <color rgb="FF6F8DB9"/>
      <name val="Aptos Narrow"/>
      <family val="2"/>
      <scheme val="minor"/>
    </font>
    <font>
      <sz val="10"/>
      <color rgb="FF0000BF"/>
      <name val="Aptos Narrow"/>
      <family val="2"/>
      <scheme val="minor"/>
    </font>
    <font>
      <b/>
      <sz val="14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sz val="10.5"/>
      <name val="Calibri"/>
      <family val="2"/>
    </font>
    <font>
      <b/>
      <sz val="11"/>
      <name val="Aptos Narrow"/>
      <family val="2"/>
      <scheme val="minor"/>
    </font>
    <font>
      <i/>
      <sz val="9"/>
      <color theme="1"/>
      <name val="Votorantim SAns"/>
    </font>
    <font>
      <b/>
      <sz val="14"/>
      <color theme="1"/>
      <name val="Votorantim SAns"/>
    </font>
    <font>
      <sz val="11"/>
      <name val="Aptos Narrow"/>
      <family val="2"/>
      <scheme val="minor"/>
    </font>
    <font>
      <b/>
      <sz val="11"/>
      <color rgb="FF0000BF"/>
      <name val="Aptos Narrow"/>
      <family val="2"/>
    </font>
    <font>
      <b/>
      <sz val="11"/>
      <color theme="1"/>
      <name val="Votorantim sans"/>
    </font>
    <font>
      <b/>
      <sz val="11"/>
      <name val="Aptos Narrow"/>
      <family val="2"/>
    </font>
    <font>
      <b/>
      <sz val="12"/>
      <color rgb="FF0000BF"/>
      <name val="Votorantim Sans"/>
    </font>
    <font>
      <b/>
      <i/>
      <u/>
      <sz val="16"/>
      <name val="Calibri"/>
      <family val="2"/>
    </font>
    <font>
      <b/>
      <sz val="16"/>
      <color theme="1"/>
      <name val="Votorantim SAns"/>
    </font>
    <font>
      <b/>
      <sz val="10"/>
      <color theme="1"/>
      <name val="Votorantim sans"/>
    </font>
    <font>
      <sz val="11"/>
      <color theme="1"/>
      <name val="Wingdings"/>
      <charset val="2"/>
    </font>
    <font>
      <sz val="12"/>
      <color theme="1"/>
      <name val="Wingdings"/>
      <charset val="2"/>
    </font>
    <font>
      <b/>
      <sz val="14"/>
      <name val="Aptos Narrow"/>
      <family val="2"/>
    </font>
    <font>
      <b/>
      <u/>
      <sz val="14"/>
      <color theme="1"/>
      <name val="Votorantim SAns"/>
    </font>
    <font>
      <sz val="14"/>
      <color theme="1"/>
      <name val="Wingdings"/>
      <charset val="2"/>
    </font>
    <font>
      <b/>
      <u/>
      <sz val="16"/>
      <color theme="1"/>
      <name val="Votorantim SAns"/>
    </font>
    <font>
      <b/>
      <u/>
      <sz val="11"/>
      <color theme="1"/>
      <name val="Votorantim sans"/>
    </font>
    <font>
      <b/>
      <u/>
      <sz val="1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6"/>
      <color theme="1" tint="0.24994659260841701"/>
      <name val="Votorantim sans"/>
    </font>
    <font>
      <b/>
      <u/>
      <sz val="11"/>
      <name val="Votorantim sans"/>
    </font>
    <font>
      <b/>
      <u/>
      <sz val="14"/>
      <color rgb="FF000000"/>
      <name val="Votorantim Sans"/>
    </font>
    <font>
      <b/>
      <u/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u/>
      <sz val="16"/>
      <name val="Calibri"/>
      <family val="2"/>
    </font>
    <font>
      <b/>
      <sz val="14"/>
      <color theme="1" tint="0.34998626667073579"/>
      <name val="Votorantim SAns"/>
    </font>
    <font>
      <b/>
      <sz val="16"/>
      <color theme="1" tint="0.34998626667073579"/>
      <name val="Votorantim SAns"/>
    </font>
    <font>
      <b/>
      <sz val="11"/>
      <color theme="1" tint="0.34998626667073579"/>
      <name val="Votorantim SAns"/>
    </font>
    <font>
      <b/>
      <sz val="12"/>
      <color theme="1" tint="0.34998626667073579"/>
      <name val="Votorantim sans"/>
    </font>
    <font>
      <sz val="12"/>
      <color theme="1"/>
      <name val="Aptos Narrow"/>
      <family val="2"/>
      <scheme val="minor"/>
    </font>
    <font>
      <b/>
      <sz val="11"/>
      <color indexed="63"/>
      <name val="Votorantim SAns"/>
    </font>
    <font>
      <b/>
      <sz val="20"/>
      <color rgb="FF0000BF"/>
      <name val="Aptos Narrow"/>
      <family val="2"/>
      <scheme val="minor"/>
    </font>
    <font>
      <b/>
      <sz val="16"/>
      <color rgb="FF0000BF"/>
      <name val="Aptos Narrow"/>
      <family val="2"/>
      <scheme val="minor"/>
    </font>
    <font>
      <b/>
      <sz val="11"/>
      <color rgb="FF0000BF"/>
      <name val="Votorantim sans"/>
    </font>
    <font>
      <sz val="10.5"/>
      <color rgb="FF000000"/>
      <name val="Votorantim Sans"/>
    </font>
    <font>
      <b/>
      <sz val="10"/>
      <color rgb="FFC0C0C0"/>
      <name val="Aptos Narrow"/>
      <family val="2"/>
      <scheme val="minor"/>
    </font>
    <font>
      <b/>
      <sz val="10"/>
      <color rgb="FF6F8DB9"/>
      <name val="Aptos Narrow"/>
      <family val="2"/>
      <scheme val="minor"/>
    </font>
    <font>
      <b/>
      <sz val="10"/>
      <color rgb="FF0000B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C0C0C0"/>
      <name val="Votortantim sans"/>
    </font>
    <font>
      <b/>
      <sz val="10"/>
      <color rgb="FF6F8DB9"/>
      <name val="Votortantim sans"/>
    </font>
    <font>
      <b/>
      <sz val="10"/>
      <color theme="1"/>
      <name val="Votortantim sans"/>
    </font>
    <font>
      <b/>
      <sz val="10"/>
      <color theme="4"/>
      <name val="Votortantim sans"/>
    </font>
    <font>
      <b/>
      <sz val="8"/>
      <color theme="0"/>
      <name val="Votorantim sans"/>
    </font>
    <font>
      <b/>
      <i/>
      <sz val="9"/>
      <color theme="4"/>
      <name val="Votorantim SAns"/>
    </font>
    <font>
      <b/>
      <sz val="10"/>
      <color theme="4"/>
      <name val="Votorantim san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CA4E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rgb="FF3A3A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BF"/>
      </left>
      <right/>
      <top style="medium">
        <color rgb="FF0000BF"/>
      </top>
      <bottom/>
      <diagonal/>
    </border>
    <border>
      <left/>
      <right/>
      <top style="medium">
        <color rgb="FF0000BF"/>
      </top>
      <bottom/>
      <diagonal/>
    </border>
    <border>
      <left/>
      <right style="medium">
        <color rgb="FF0000BF"/>
      </right>
      <top style="medium">
        <color rgb="FF0000BF"/>
      </top>
      <bottom/>
      <diagonal/>
    </border>
    <border>
      <left style="medium">
        <color rgb="FF0000BF"/>
      </left>
      <right/>
      <top/>
      <bottom/>
      <diagonal/>
    </border>
    <border>
      <left/>
      <right style="medium">
        <color rgb="FF0000BF"/>
      </right>
      <top/>
      <bottom/>
      <diagonal/>
    </border>
    <border>
      <left style="medium">
        <color rgb="FF0000BF"/>
      </left>
      <right/>
      <top/>
      <bottom style="medium">
        <color rgb="FF0000BF"/>
      </bottom>
      <diagonal/>
    </border>
    <border>
      <left/>
      <right/>
      <top/>
      <bottom style="medium">
        <color rgb="FF0000BF"/>
      </bottom>
      <diagonal/>
    </border>
    <border>
      <left/>
      <right style="medium">
        <color rgb="FF0000BF"/>
      </right>
      <top/>
      <bottom style="medium">
        <color rgb="FF0000BF"/>
      </bottom>
      <diagonal/>
    </border>
    <border>
      <left style="medium">
        <color rgb="FF0000BF"/>
      </left>
      <right style="medium">
        <color rgb="FF0000BF"/>
      </right>
      <top style="medium">
        <color rgb="FF0000BF"/>
      </top>
      <bottom/>
      <diagonal/>
    </border>
    <border>
      <left style="medium">
        <color rgb="FF0000BF"/>
      </left>
      <right style="medium">
        <color rgb="FF0000BF"/>
      </right>
      <top/>
      <bottom/>
      <diagonal/>
    </border>
    <border>
      <left style="medium">
        <color rgb="FF0000BF"/>
      </left>
      <right style="medium">
        <color rgb="FF0000BF"/>
      </right>
      <top/>
      <bottom style="medium">
        <color rgb="FF0000BF"/>
      </bottom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/>
      <top style="hair">
        <color theme="8"/>
      </top>
      <bottom style="hair">
        <color theme="8"/>
      </bottom>
      <diagonal/>
    </border>
    <border>
      <left/>
      <right/>
      <top/>
      <bottom style="hair">
        <color theme="8"/>
      </bottom>
      <diagonal/>
    </border>
    <border>
      <left style="thin">
        <color theme="0" tint="-0.24994659260841701"/>
      </left>
      <right/>
      <top style="hair">
        <color theme="8"/>
      </top>
      <bottom style="hair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/>
      <top style="hair">
        <color theme="8"/>
      </top>
      <bottom/>
      <diagonal/>
    </border>
    <border>
      <left/>
      <right/>
      <top/>
      <bottom style="medium">
        <color theme="8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mediumDashed">
        <color rgb="FF00A84C"/>
      </left>
      <right style="mediumDashed">
        <color rgb="FF00A84C"/>
      </right>
      <top style="mediumDashed">
        <color rgb="FF00A84C"/>
      </top>
      <bottom style="mediumDashed">
        <color rgb="FF00A84C"/>
      </bottom>
      <diagonal/>
    </border>
    <border>
      <left style="mediumDashed">
        <color rgb="FF00A84C"/>
      </left>
      <right/>
      <top style="mediumDashed">
        <color rgb="FF00A84C"/>
      </top>
      <bottom/>
      <diagonal/>
    </border>
    <border>
      <left/>
      <right/>
      <top style="mediumDashed">
        <color rgb="FF00A84C"/>
      </top>
      <bottom/>
      <diagonal/>
    </border>
    <border>
      <left/>
      <right style="mediumDashed">
        <color rgb="FF00A84C"/>
      </right>
      <top style="mediumDashed">
        <color rgb="FF00A84C"/>
      </top>
      <bottom/>
      <diagonal/>
    </border>
    <border>
      <left style="mediumDashed">
        <color rgb="FF00A84C"/>
      </left>
      <right/>
      <top/>
      <bottom/>
      <diagonal/>
    </border>
    <border>
      <left/>
      <right style="mediumDashed">
        <color rgb="FF00A84C"/>
      </right>
      <top/>
      <bottom/>
      <diagonal/>
    </border>
    <border>
      <left style="mediumDashed">
        <color rgb="FF00A84C"/>
      </left>
      <right/>
      <top/>
      <bottom style="mediumDashed">
        <color rgb="FF00A84C"/>
      </bottom>
      <diagonal/>
    </border>
    <border>
      <left/>
      <right/>
      <top/>
      <bottom style="mediumDashed">
        <color rgb="FF00A84C"/>
      </bottom>
      <diagonal/>
    </border>
    <border>
      <left/>
      <right style="mediumDashed">
        <color rgb="FF00A84C"/>
      </right>
      <top/>
      <bottom style="mediumDashed">
        <color rgb="FF00A84C"/>
      </bottom>
      <diagonal/>
    </border>
    <border>
      <left style="mediumDashed">
        <color rgb="FF00A84C"/>
      </left>
      <right style="mediumDashed">
        <color rgb="FF00A84C"/>
      </right>
      <top style="mediumDashed">
        <color rgb="FF00A84C"/>
      </top>
      <bottom/>
      <diagonal/>
    </border>
    <border>
      <left style="mediumDashed">
        <color rgb="FF00A84C"/>
      </left>
      <right/>
      <top style="mediumDashed">
        <color rgb="FF00A84C"/>
      </top>
      <bottom style="mediumDashed">
        <color rgb="FF00A84C"/>
      </bottom>
      <diagonal/>
    </border>
    <border>
      <left/>
      <right/>
      <top style="mediumDashed">
        <color rgb="FF00A84C"/>
      </top>
      <bottom style="mediumDashed">
        <color rgb="FF00A84C"/>
      </bottom>
      <diagonal/>
    </border>
    <border>
      <left/>
      <right style="mediumDashed">
        <color rgb="FF00A84C"/>
      </right>
      <top style="mediumDashed">
        <color rgb="FF00A84C"/>
      </top>
      <bottom style="mediumDashed">
        <color rgb="FF00A84C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8">
    <xf numFmtId="0" fontId="0" fillId="0" borderId="0" xfId="0"/>
    <xf numFmtId="0" fontId="2" fillId="0" borderId="0" xfId="0" applyFont="1"/>
    <xf numFmtId="0" fontId="4" fillId="0" borderId="0" xfId="0" applyFont="1"/>
    <xf numFmtId="37" fontId="2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0" fontId="7" fillId="0" borderId="0" xfId="0" applyFont="1"/>
    <xf numFmtId="164" fontId="0" fillId="0" borderId="0" xfId="0" applyNumberFormat="1"/>
    <xf numFmtId="0" fontId="7" fillId="0" borderId="0" xfId="0" applyFont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 vertical="center" indent="1"/>
    </xf>
    <xf numFmtId="0" fontId="0" fillId="0" borderId="0" xfId="0" applyAlignment="1">
      <alignment horizontal="left"/>
    </xf>
    <xf numFmtId="0" fontId="8" fillId="0" borderId="0" xfId="0" applyFont="1"/>
    <xf numFmtId="0" fontId="9" fillId="0" borderId="2" xfId="0" quotePrefix="1" applyFont="1" applyBorder="1" applyAlignment="1">
      <alignment horizontal="center" vertical="center"/>
    </xf>
    <xf numFmtId="9" fontId="15" fillId="0" borderId="0" xfId="1" applyFont="1"/>
    <xf numFmtId="9" fontId="16" fillId="0" borderId="0" xfId="1" applyFont="1"/>
    <xf numFmtId="9" fontId="17" fillId="0" borderId="0" xfId="1" applyFont="1"/>
    <xf numFmtId="9" fontId="18" fillId="0" borderId="0" xfId="1" applyFont="1"/>
    <xf numFmtId="0" fontId="0" fillId="0" borderId="7" xfId="0" applyBorder="1"/>
    <xf numFmtId="0" fontId="0" fillId="0" borderId="8" xfId="0" applyBorder="1"/>
    <xf numFmtId="0" fontId="21" fillId="0" borderId="0" xfId="0" quotePrefix="1" applyFont="1"/>
    <xf numFmtId="0" fontId="22" fillId="0" borderId="4" xfId="0" applyFont="1" applyBorder="1" applyAlignment="1">
      <alignment horizontal="center" vertical="center"/>
    </xf>
    <xf numFmtId="0" fontId="21" fillId="0" borderId="7" xfId="0" quotePrefix="1" applyFont="1" applyBorder="1"/>
    <xf numFmtId="0" fontId="22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8" xfId="0" quotePrefix="1" applyFont="1" applyBorder="1"/>
    <xf numFmtId="3" fontId="0" fillId="0" borderId="0" xfId="0" applyNumberFormat="1"/>
    <xf numFmtId="0" fontId="23" fillId="0" borderId="0" xfId="0" applyFont="1"/>
    <xf numFmtId="37" fontId="0" fillId="0" borderId="0" xfId="0" applyNumberFormat="1"/>
    <xf numFmtId="0" fontId="21" fillId="0" borderId="0" xfId="0" applyFont="1"/>
    <xf numFmtId="0" fontId="0" fillId="0" borderId="13" xfId="0" quotePrefix="1" applyBorder="1"/>
    <xf numFmtId="0" fontId="0" fillId="0" borderId="14" xfId="0" quotePrefix="1" applyBorder="1"/>
    <xf numFmtId="0" fontId="0" fillId="0" borderId="15" xfId="0" applyBorder="1"/>
    <xf numFmtId="0" fontId="0" fillId="0" borderId="17" xfId="0" applyBorder="1"/>
    <xf numFmtId="0" fontId="13" fillId="0" borderId="18" xfId="0" applyFont="1" applyBorder="1" applyAlignment="1">
      <alignment horizontal="center"/>
    </xf>
    <xf numFmtId="0" fontId="0" fillId="0" borderId="21" xfId="0" quotePrefix="1" applyBorder="1"/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1" fillId="0" borderId="23" xfId="0" quotePrefix="1" applyFont="1" applyBorder="1"/>
    <xf numFmtId="0" fontId="22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2" fillId="0" borderId="11" xfId="0" applyFont="1" applyBorder="1"/>
    <xf numFmtId="0" fontId="0" fillId="0" borderId="22" xfId="0" applyBorder="1"/>
    <xf numFmtId="0" fontId="22" fillId="2" borderId="9" xfId="0" applyFont="1" applyFill="1" applyBorder="1"/>
    <xf numFmtId="0" fontId="21" fillId="2" borderId="10" xfId="0" applyFont="1" applyFill="1" applyBorder="1"/>
    <xf numFmtId="0" fontId="0" fillId="2" borderId="10" xfId="0" applyFill="1" applyBorder="1"/>
    <xf numFmtId="0" fontId="25" fillId="0" borderId="0" xfId="0" applyFont="1"/>
    <xf numFmtId="165" fontId="0" fillId="0" borderId="0" xfId="0" applyNumberFormat="1"/>
    <xf numFmtId="0" fontId="22" fillId="0" borderId="0" xfId="0" applyFont="1"/>
    <xf numFmtId="49" fontId="0" fillId="0" borderId="0" xfId="0" applyNumberFormat="1"/>
    <xf numFmtId="9" fontId="15" fillId="0" borderId="0" xfId="1" applyFont="1" applyAlignment="1"/>
    <xf numFmtId="165" fontId="0" fillId="0" borderId="35" xfId="0" applyNumberFormat="1" applyBorder="1"/>
    <xf numFmtId="165" fontId="0" fillId="0" borderId="37" xfId="0" applyNumberFormat="1" applyBorder="1"/>
    <xf numFmtId="165" fontId="0" fillId="0" borderId="38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25" fillId="0" borderId="0" xfId="0" applyNumberFormat="1" applyFont="1"/>
    <xf numFmtId="0" fontId="22" fillId="0" borderId="31" xfId="0" applyFont="1" applyBorder="1"/>
    <xf numFmtId="165" fontId="21" fillId="0" borderId="34" xfId="0" applyNumberFormat="1" applyFont="1" applyBorder="1"/>
    <xf numFmtId="165" fontId="21" fillId="0" borderId="36" xfId="0" applyNumberFormat="1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9" xfId="0" applyFont="1" applyBorder="1"/>
    <xf numFmtId="165" fontId="22" fillId="0" borderId="32" xfId="0" applyNumberFormat="1" applyFont="1" applyBorder="1"/>
    <xf numFmtId="165" fontId="22" fillId="0" borderId="33" xfId="0" applyNumberFormat="1" applyFont="1" applyBorder="1"/>
    <xf numFmtId="165" fontId="2" fillId="0" borderId="0" xfId="0" applyNumberFormat="1" applyFont="1"/>
    <xf numFmtId="165" fontId="2" fillId="0" borderId="32" xfId="0" applyNumberFormat="1" applyFont="1" applyBorder="1"/>
    <xf numFmtId="165" fontId="2" fillId="0" borderId="33" xfId="0" applyNumberFormat="1" applyFont="1" applyBorder="1"/>
    <xf numFmtId="0" fontId="22" fillId="0" borderId="32" xfId="0" applyFont="1" applyBorder="1"/>
    <xf numFmtId="0" fontId="22" fillId="0" borderId="33" xfId="0" applyFont="1" applyBorder="1"/>
    <xf numFmtId="0" fontId="22" fillId="0" borderId="39" xfId="0" applyFont="1" applyBorder="1"/>
    <xf numFmtId="165" fontId="22" fillId="0" borderId="0" xfId="0" applyNumberFormat="1" applyFont="1"/>
    <xf numFmtId="37" fontId="22" fillId="0" borderId="0" xfId="0" applyNumberFormat="1" applyFont="1"/>
    <xf numFmtId="0" fontId="28" fillId="0" borderId="31" xfId="0" applyFont="1" applyBorder="1"/>
    <xf numFmtId="37" fontId="2" fillId="0" borderId="0" xfId="0" applyNumberFormat="1" applyFont="1"/>
    <xf numFmtId="49" fontId="2" fillId="0" borderId="34" xfId="0" applyNumberFormat="1" applyFont="1" applyBorder="1"/>
    <xf numFmtId="0" fontId="2" fillId="0" borderId="34" xfId="0" applyFont="1" applyBorder="1"/>
    <xf numFmtId="0" fontId="2" fillId="0" borderId="36" xfId="0" applyFont="1" applyBorder="1"/>
    <xf numFmtId="165" fontId="25" fillId="0" borderId="0" xfId="0" applyNumberFormat="1" applyFont="1" applyAlignment="1">
      <alignment horizontal="left" indent="4"/>
    </xf>
    <xf numFmtId="1" fontId="2" fillId="0" borderId="0" xfId="0" applyNumberFormat="1" applyFont="1"/>
    <xf numFmtId="0" fontId="0" fillId="0" borderId="0" xfId="0" applyAlignment="1">
      <alignment horizontal="left" vertical="center" indent="1"/>
    </xf>
    <xf numFmtId="0" fontId="37" fillId="0" borderId="0" xfId="0" applyFont="1" applyAlignment="1">
      <alignment horizontal="right" vertical="center"/>
    </xf>
    <xf numFmtId="0" fontId="41" fillId="0" borderId="0" xfId="0" applyFont="1"/>
    <xf numFmtId="0" fontId="37" fillId="0" borderId="0" xfId="0" applyFont="1" applyAlignment="1">
      <alignment vertical="center"/>
    </xf>
    <xf numFmtId="0" fontId="0" fillId="2" borderId="0" xfId="0" applyFill="1"/>
    <xf numFmtId="0" fontId="27" fillId="2" borderId="1" xfId="0" applyFont="1" applyFill="1" applyBorder="1"/>
    <xf numFmtId="0" fontId="0" fillId="2" borderId="1" xfId="0" applyFill="1" applyBorder="1"/>
    <xf numFmtId="0" fontId="33" fillId="2" borderId="1" xfId="0" applyFont="1" applyFill="1" applyBorder="1" applyAlignment="1">
      <alignment horizontal="right" vertical="center"/>
    </xf>
    <xf numFmtId="0" fontId="0" fillId="0" borderId="43" xfId="0" applyBorder="1"/>
    <xf numFmtId="0" fontId="34" fillId="2" borderId="0" xfId="0" applyFont="1" applyFill="1" applyAlignment="1">
      <alignment horizontal="right"/>
    </xf>
    <xf numFmtId="0" fontId="0" fillId="2" borderId="43" xfId="0" applyFill="1" applyBorder="1"/>
    <xf numFmtId="0" fontId="3" fillId="0" borderId="43" xfId="0" applyFont="1" applyBorder="1"/>
    <xf numFmtId="0" fontId="34" fillId="2" borderId="43" xfId="0" applyFont="1" applyFill="1" applyBorder="1" applyAlignment="1">
      <alignment horizontal="right" vertical="center"/>
    </xf>
    <xf numFmtId="0" fontId="0" fillId="2" borderId="42" xfId="0" applyFill="1" applyBorder="1"/>
    <xf numFmtId="0" fontId="19" fillId="2" borderId="43" xfId="0" applyFont="1" applyFill="1" applyBorder="1" applyAlignment="1">
      <alignment horizontal="right" vertical="center"/>
    </xf>
    <xf numFmtId="0" fontId="19" fillId="2" borderId="43" xfId="0" applyFont="1" applyFill="1" applyBorder="1" applyAlignment="1">
      <alignment horizontal="center" vertical="center"/>
    </xf>
    <xf numFmtId="0" fontId="35" fillId="2" borderId="43" xfId="0" applyFont="1" applyFill="1" applyBorder="1" applyAlignment="1">
      <alignment vertical="center"/>
    </xf>
    <xf numFmtId="0" fontId="20" fillId="2" borderId="43" xfId="0" applyFont="1" applyFill="1" applyBorder="1" applyAlignment="1">
      <alignment vertical="center"/>
    </xf>
    <xf numFmtId="0" fontId="12" fillId="2" borderId="43" xfId="0" applyFont="1" applyFill="1" applyBorder="1"/>
    <xf numFmtId="0" fontId="11" fillId="2" borderId="0" xfId="0" applyFont="1" applyFill="1"/>
    <xf numFmtId="0" fontId="11" fillId="0" borderId="0" xfId="0" applyFont="1"/>
    <xf numFmtId="0" fontId="37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left"/>
    </xf>
    <xf numFmtId="0" fontId="24" fillId="2" borderId="43" xfId="0" applyFont="1" applyFill="1" applyBorder="1" applyAlignment="1">
      <alignment horizontal="left"/>
    </xf>
    <xf numFmtId="0" fontId="47" fillId="2" borderId="42" xfId="0" applyFont="1" applyFill="1" applyBorder="1"/>
    <xf numFmtId="0" fontId="41" fillId="2" borderId="42" xfId="0" applyFont="1" applyFill="1" applyBorder="1"/>
    <xf numFmtId="0" fontId="28" fillId="2" borderId="43" xfId="0" applyFont="1" applyFill="1" applyBorder="1"/>
    <xf numFmtId="0" fontId="36" fillId="2" borderId="0" xfId="0" applyFont="1" applyFill="1" applyAlignment="1">
      <alignment vertical="center"/>
    </xf>
    <xf numFmtId="0" fontId="48" fillId="0" borderId="0" xfId="0" applyFont="1" applyAlignment="1">
      <alignment vertical="center"/>
    </xf>
    <xf numFmtId="0" fontId="48" fillId="2" borderId="0" xfId="0" applyFont="1" applyFill="1" applyAlignment="1">
      <alignment vertical="center"/>
    </xf>
    <xf numFmtId="0" fontId="14" fillId="2" borderId="43" xfId="0" applyFont="1" applyFill="1" applyBorder="1" applyAlignment="1">
      <alignment horizontal="left" vertical="center" readingOrder="1"/>
    </xf>
    <xf numFmtId="0" fontId="14" fillId="2" borderId="43" xfId="0" applyFont="1" applyFill="1" applyBorder="1" applyAlignment="1">
      <alignment vertical="center" readingOrder="1"/>
    </xf>
    <xf numFmtId="0" fontId="51" fillId="0" borderId="44" xfId="0" applyFont="1" applyBorder="1" applyAlignment="1">
      <alignment horizontal="center" vertical="center"/>
    </xf>
    <xf numFmtId="0" fontId="45" fillId="2" borderId="0" xfId="0" applyFont="1" applyFill="1" applyAlignment="1">
      <alignment vertical="center" readingOrder="1"/>
    </xf>
    <xf numFmtId="0" fontId="43" fillId="0" borderId="0" xfId="0" applyFont="1" applyAlignment="1">
      <alignment vertical="center"/>
    </xf>
    <xf numFmtId="0" fontId="29" fillId="2" borderId="43" xfId="0" applyFont="1" applyFill="1" applyBorder="1" applyAlignment="1">
      <alignment vertical="center" readingOrder="1"/>
    </xf>
    <xf numFmtId="0" fontId="29" fillId="2" borderId="43" xfId="0" applyFont="1" applyFill="1" applyBorder="1" applyAlignment="1">
      <alignment horizontal="left"/>
    </xf>
    <xf numFmtId="0" fontId="43" fillId="0" borderId="43" xfId="0" applyFont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29" fillId="2" borderId="43" xfId="0" applyFont="1" applyFill="1" applyBorder="1" applyAlignment="1">
      <alignment horizontal="left" vertical="center" readingOrder="1"/>
    </xf>
    <xf numFmtId="0" fontId="14" fillId="2" borderId="0" xfId="0" applyFont="1" applyFill="1" applyAlignment="1">
      <alignment vertical="top" readingOrder="1"/>
    </xf>
    <xf numFmtId="0" fontId="44" fillId="2" borderId="42" xfId="0" applyFont="1" applyFill="1" applyBorder="1" applyAlignment="1">
      <alignment vertical="center"/>
    </xf>
    <xf numFmtId="0" fontId="52" fillId="0" borderId="44" xfId="0" applyFont="1" applyBorder="1" applyAlignment="1">
      <alignment horizontal="center" vertical="center"/>
    </xf>
    <xf numFmtId="0" fontId="51" fillId="0" borderId="44" xfId="0" applyFont="1" applyBorder="1" applyAlignment="1">
      <alignment horizontal="left" vertical="center"/>
    </xf>
    <xf numFmtId="0" fontId="11" fillId="0" borderId="43" xfId="0" applyFont="1" applyBorder="1"/>
    <xf numFmtId="0" fontId="3" fillId="0" borderId="0" xfId="0" applyFont="1"/>
    <xf numFmtId="0" fontId="0" fillId="0" borderId="47" xfId="0" applyBorder="1"/>
    <xf numFmtId="0" fontId="35" fillId="0" borderId="47" xfId="0" applyFont="1" applyBorder="1" applyAlignment="1">
      <alignment vertical="center"/>
    </xf>
    <xf numFmtId="0" fontId="20" fillId="0" borderId="47" xfId="0" applyFont="1" applyBorder="1" applyAlignment="1">
      <alignment vertical="center"/>
    </xf>
    <xf numFmtId="0" fontId="29" fillId="0" borderId="47" xfId="0" applyFont="1" applyBorder="1"/>
    <xf numFmtId="0" fontId="51" fillId="2" borderId="0" xfId="0" applyFont="1" applyFill="1" applyAlignment="1">
      <alignment vertical="center"/>
    </xf>
    <xf numFmtId="0" fontId="49" fillId="2" borderId="0" xfId="0" applyFont="1" applyFill="1" applyAlignment="1">
      <alignment vertical="center" readingOrder="1"/>
    </xf>
    <xf numFmtId="0" fontId="29" fillId="0" borderId="47" xfId="0" applyFont="1" applyBorder="1" applyAlignment="1">
      <alignment vertical="center"/>
    </xf>
    <xf numFmtId="0" fontId="29" fillId="0" borderId="47" xfId="0" applyFont="1" applyBorder="1" applyAlignment="1">
      <alignment horizontal="left" vertical="center" readingOrder="1"/>
    </xf>
    <xf numFmtId="0" fontId="53" fillId="0" borderId="47" xfId="0" applyFont="1" applyBorder="1"/>
    <xf numFmtId="0" fontId="37" fillId="2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7" fillId="0" borderId="43" xfId="0" applyFont="1" applyBorder="1" applyAlignment="1">
      <alignment horizontal="right" vertical="center"/>
    </xf>
    <xf numFmtId="0" fontId="41" fillId="0" borderId="43" xfId="0" applyFont="1" applyBorder="1"/>
    <xf numFmtId="0" fontId="0" fillId="0" borderId="49" xfId="0" applyBorder="1"/>
    <xf numFmtId="0" fontId="39" fillId="2" borderId="0" xfId="0" applyFont="1" applyFill="1"/>
    <xf numFmtId="0" fontId="40" fillId="2" borderId="0" xfId="0" applyFont="1" applyFill="1"/>
    <xf numFmtId="0" fontId="46" fillId="2" borderId="0" xfId="0" applyFont="1" applyFill="1"/>
    <xf numFmtId="0" fontId="29" fillId="0" borderId="47" xfId="0" applyFont="1" applyBorder="1" applyAlignment="1">
      <alignment horizontal="left" readingOrder="1"/>
    </xf>
    <xf numFmtId="0" fontId="29" fillId="0" borderId="47" xfId="0" applyFont="1" applyBorder="1" applyAlignment="1">
      <alignment horizontal="left"/>
    </xf>
    <xf numFmtId="37" fontId="42" fillId="0" borderId="43" xfId="0" applyNumberFormat="1" applyFont="1" applyBorder="1" applyAlignment="1">
      <alignment vertical="center"/>
    </xf>
    <xf numFmtId="9" fontId="16" fillId="0" borderId="0" xfId="1" applyFont="1" applyFill="1"/>
    <xf numFmtId="9" fontId="15" fillId="0" borderId="0" xfId="1" applyFont="1" applyFill="1" applyAlignment="1"/>
    <xf numFmtId="0" fontId="29" fillId="0" borderId="47" xfId="0" applyFont="1" applyBorder="1" applyAlignment="1">
      <alignment horizontal="left" vertical="center"/>
    </xf>
    <xf numFmtId="0" fontId="51" fillId="0" borderId="0" xfId="0" applyFont="1"/>
    <xf numFmtId="0" fontId="50" fillId="0" borderId="0" xfId="0" applyFont="1" applyAlignment="1">
      <alignment vertical="center" wrapText="1"/>
    </xf>
    <xf numFmtId="37" fontId="52" fillId="0" borderId="0" xfId="0" applyNumberFormat="1" applyFont="1" applyAlignment="1">
      <alignment vertical="center"/>
    </xf>
    <xf numFmtId="0" fontId="54" fillId="0" borderId="0" xfId="0" applyFont="1"/>
    <xf numFmtId="0" fontId="8" fillId="2" borderId="0" xfId="0" applyFont="1" applyFill="1"/>
    <xf numFmtId="0" fontId="54" fillId="2" borderId="0" xfId="0" applyFont="1" applyFill="1"/>
    <xf numFmtId="0" fontId="8" fillId="2" borderId="43" xfId="0" applyFont="1" applyFill="1" applyBorder="1"/>
    <xf numFmtId="37" fontId="26" fillId="2" borderId="42" xfId="0" applyNumberFormat="1" applyFont="1" applyFill="1" applyBorder="1" applyAlignment="1">
      <alignment horizontal="left" vertical="center"/>
    </xf>
    <xf numFmtId="37" fontId="51" fillId="2" borderId="42" xfId="0" applyNumberFormat="1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49" fillId="2" borderId="0" xfId="0" applyFont="1" applyFill="1" applyAlignment="1">
      <alignment vertical="center"/>
    </xf>
    <xf numFmtId="0" fontId="37" fillId="2" borderId="43" xfId="0" applyFont="1" applyFill="1" applyBorder="1" applyAlignment="1">
      <alignment horizontal="right" vertical="center"/>
    </xf>
    <xf numFmtId="0" fontId="25" fillId="2" borderId="42" xfId="0" applyFont="1" applyFill="1" applyBorder="1"/>
    <xf numFmtId="0" fontId="57" fillId="0" borderId="0" xfId="0" applyFont="1"/>
    <xf numFmtId="0" fontId="29" fillId="0" borderId="0" xfId="0" applyFont="1" applyAlignment="1">
      <alignment horizontal="left" vertical="center"/>
    </xf>
    <xf numFmtId="0" fontId="51" fillId="2" borderId="0" xfId="0" applyFont="1" applyFill="1" applyAlignment="1">
      <alignment vertical="center" wrapText="1"/>
    </xf>
    <xf numFmtId="165" fontId="0" fillId="0" borderId="3" xfId="0" applyNumberFormat="1" applyBorder="1"/>
    <xf numFmtId="165" fontId="0" fillId="0" borderId="28" xfId="0" applyNumberFormat="1" applyBorder="1"/>
    <xf numFmtId="165" fontId="0" fillId="0" borderId="29" xfId="0" applyNumberFormat="1" applyBorder="1"/>
    <xf numFmtId="165" fontId="0" fillId="0" borderId="30" xfId="0" applyNumberFormat="1" applyBorder="1"/>
    <xf numFmtId="165" fontId="0" fillId="0" borderId="16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165" fontId="0" fillId="0" borderId="25" xfId="0" applyNumberFormat="1" applyBorder="1"/>
    <xf numFmtId="165" fontId="0" fillId="0" borderId="0" xfId="0" applyNumberFormat="1" applyAlignment="1">
      <alignment horizontal="left"/>
    </xf>
    <xf numFmtId="165" fontId="7" fillId="0" borderId="0" xfId="0" applyNumberFormat="1" applyFont="1"/>
    <xf numFmtId="165" fontId="5" fillId="0" borderId="0" xfId="0" applyNumberFormat="1" applyFont="1" applyAlignment="1">
      <alignment vertical="center"/>
    </xf>
    <xf numFmtId="165" fontId="0" fillId="0" borderId="0" xfId="1" applyNumberFormat="1" applyFont="1"/>
    <xf numFmtId="165" fontId="7" fillId="0" borderId="0" xfId="0" applyNumberFormat="1" applyFont="1" applyAlignment="1">
      <alignment vertical="center"/>
    </xf>
    <xf numFmtId="0" fontId="0" fillId="0" borderId="58" xfId="0" applyBorder="1"/>
    <xf numFmtId="0" fontId="0" fillId="0" borderId="59" xfId="0" applyBorder="1"/>
    <xf numFmtId="0" fontId="0" fillId="0" borderId="61" xfId="0" applyBorder="1"/>
    <xf numFmtId="0" fontId="0" fillId="0" borderId="64" xfId="0" applyBorder="1"/>
    <xf numFmtId="9" fontId="0" fillId="0" borderId="0" xfId="1" applyFont="1"/>
    <xf numFmtId="0" fontId="2" fillId="0" borderId="0" xfId="0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0" fillId="3" borderId="61" xfId="0" applyFill="1" applyBorder="1"/>
    <xf numFmtId="0" fontId="58" fillId="3" borderId="61" xfId="0" applyFont="1" applyFill="1" applyBorder="1"/>
    <xf numFmtId="0" fontId="0" fillId="3" borderId="63" xfId="0" applyFill="1" applyBorder="1"/>
    <xf numFmtId="9" fontId="0" fillId="0" borderId="0" xfId="1" applyFont="1" applyBorder="1"/>
    <xf numFmtId="0" fontId="0" fillId="0" borderId="0" xfId="0" applyAlignment="1">
      <alignment horizontal="left" vertical="center"/>
    </xf>
    <xf numFmtId="9" fontId="59" fillId="0" borderId="0" xfId="1" applyFont="1"/>
    <xf numFmtId="9" fontId="60" fillId="0" borderId="0" xfId="1" applyFont="1"/>
    <xf numFmtId="9" fontId="61" fillId="0" borderId="0" xfId="1" applyFont="1"/>
    <xf numFmtId="9" fontId="62" fillId="0" borderId="0" xfId="1" applyFont="1"/>
    <xf numFmtId="0" fontId="0" fillId="0" borderId="64" xfId="0" applyBorder="1" applyAlignment="1">
      <alignment horizontal="left" vertical="center"/>
    </xf>
    <xf numFmtId="0" fontId="2" fillId="0" borderId="6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0" fontId="2" fillId="0" borderId="66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165" fontId="0" fillId="0" borderId="62" xfId="0" applyNumberFormat="1" applyBorder="1"/>
    <xf numFmtId="165" fontId="0" fillId="0" borderId="64" xfId="0" applyNumberFormat="1" applyBorder="1"/>
    <xf numFmtId="165" fontId="0" fillId="0" borderId="65" xfId="0" applyNumberFormat="1" applyBorder="1"/>
    <xf numFmtId="165" fontId="0" fillId="0" borderId="61" xfId="0" applyNumberFormat="1" applyBorder="1"/>
    <xf numFmtId="165" fontId="0" fillId="0" borderId="63" xfId="0" applyNumberFormat="1" applyBorder="1"/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9" fontId="59" fillId="0" borderId="0" xfId="1" applyFont="1" applyAlignment="1">
      <alignment horizontal="right"/>
    </xf>
    <xf numFmtId="9" fontId="60" fillId="0" borderId="0" xfId="1" applyFont="1" applyAlignment="1">
      <alignment horizontal="right"/>
    </xf>
    <xf numFmtId="9" fontId="61" fillId="0" borderId="0" xfId="1" applyFont="1" applyAlignment="1">
      <alignment horizontal="right"/>
    </xf>
    <xf numFmtId="167" fontId="0" fillId="0" borderId="0" xfId="1" applyNumberFormat="1" applyFont="1"/>
    <xf numFmtId="9" fontId="15" fillId="0" borderId="58" xfId="1" applyFont="1" applyBorder="1" applyAlignment="1"/>
    <xf numFmtId="9" fontId="15" fillId="0" borderId="59" xfId="1" applyFont="1" applyBorder="1" applyAlignment="1"/>
    <xf numFmtId="9" fontId="0" fillId="0" borderId="16" xfId="1" applyFont="1" applyBorder="1"/>
    <xf numFmtId="9" fontId="0" fillId="0" borderId="19" xfId="1" applyFont="1" applyBorder="1"/>
    <xf numFmtId="9" fontId="0" fillId="0" borderId="20" xfId="1" applyFont="1" applyBorder="1"/>
    <xf numFmtId="9" fontId="67" fillId="0" borderId="0" xfId="1" applyFont="1"/>
    <xf numFmtId="0" fontId="68" fillId="0" borderId="0" xfId="0" applyFont="1"/>
    <xf numFmtId="0" fontId="69" fillId="0" borderId="0" xfId="0" applyFont="1"/>
    <xf numFmtId="168" fontId="63" fillId="0" borderId="70" xfId="1" applyNumberFormat="1" applyFont="1" applyBorder="1" applyAlignment="1">
      <alignment horizontal="right" vertical="center"/>
    </xf>
    <xf numFmtId="168" fontId="65" fillId="0" borderId="70" xfId="0" applyNumberFormat="1" applyFont="1" applyBorder="1"/>
    <xf numFmtId="0" fontId="49" fillId="0" borderId="4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0" fillId="0" borderId="44" xfId="0" applyFont="1" applyBorder="1" applyAlignment="1">
      <alignment horizontal="left" vertical="center"/>
    </xf>
    <xf numFmtId="9" fontId="32" fillId="0" borderId="0" xfId="1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37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0" fillId="0" borderId="11" xfId="0" applyBorder="1"/>
    <xf numFmtId="0" fontId="0" fillId="0" borderId="12" xfId="0" applyBorder="1"/>
    <xf numFmtId="165" fontId="0" fillId="0" borderId="6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62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62" xfId="1" applyFont="1" applyBorder="1" applyAlignment="1">
      <alignment horizontal="center"/>
    </xf>
    <xf numFmtId="165" fontId="0" fillId="0" borderId="65" xfId="0" applyNumberFormat="1" applyBorder="1" applyAlignment="1">
      <alignment horizontal="center"/>
    </xf>
    <xf numFmtId="0" fontId="2" fillId="0" borderId="6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9" fontId="15" fillId="0" borderId="0" xfId="1" applyFont="1" applyAlignment="1">
      <alignment horizontal="center"/>
    </xf>
    <xf numFmtId="0" fontId="51" fillId="0" borderId="44" xfId="0" applyFont="1" applyBorder="1" applyAlignment="1">
      <alignment horizontal="center" vertical="center"/>
    </xf>
    <xf numFmtId="0" fontId="51" fillId="0" borderId="5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49" fillId="0" borderId="44" xfId="0" applyFont="1" applyBorder="1" applyAlignment="1">
      <alignment horizontal="left" vertical="center" readingOrder="1"/>
    </xf>
    <xf numFmtId="0" fontId="51" fillId="0" borderId="46" xfId="0" applyFont="1" applyBorder="1" applyAlignment="1">
      <alignment horizontal="center" vertical="center"/>
    </xf>
    <xf numFmtId="167" fontId="0" fillId="4" borderId="64" xfId="0" applyNumberFormat="1" applyFill="1" applyBorder="1" applyAlignment="1">
      <alignment horizontal="center"/>
    </xf>
    <xf numFmtId="167" fontId="0" fillId="4" borderId="65" xfId="0" applyNumberFormat="1" applyFill="1" applyBorder="1" applyAlignment="1">
      <alignment horizontal="center"/>
    </xf>
    <xf numFmtId="0" fontId="2" fillId="0" borderId="6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63" xfId="0" applyFont="1" applyFill="1" applyBorder="1" applyAlignment="1">
      <alignment horizontal="left" vertical="center"/>
    </xf>
    <xf numFmtId="0" fontId="2" fillId="4" borderId="64" xfId="0" applyFont="1" applyFill="1" applyBorder="1" applyAlignment="1">
      <alignment horizontal="left" vertical="center"/>
    </xf>
    <xf numFmtId="9" fontId="0" fillId="0" borderId="64" xfId="1" applyFont="1" applyBorder="1" applyAlignment="1">
      <alignment horizontal="center"/>
    </xf>
    <xf numFmtId="9" fontId="0" fillId="0" borderId="65" xfId="1" applyFont="1" applyBorder="1" applyAlignment="1">
      <alignment horizontal="center"/>
    </xf>
    <xf numFmtId="0" fontId="11" fillId="0" borderId="0" xfId="0" applyFont="1" applyAlignment="1">
      <alignment horizontal="center"/>
    </xf>
    <xf numFmtId="37" fontId="51" fillId="0" borderId="44" xfId="0" applyNumberFormat="1" applyFont="1" applyBorder="1" applyAlignment="1">
      <alignment horizontal="center" vertical="center"/>
    </xf>
    <xf numFmtId="0" fontId="51" fillId="2" borderId="50" xfId="0" applyFont="1" applyFill="1" applyBorder="1" applyAlignment="1">
      <alignment horizontal="center" vertical="center" wrapText="1"/>
    </xf>
    <xf numFmtId="0" fontId="51" fillId="2" borderId="48" xfId="0" applyFont="1" applyFill="1" applyBorder="1" applyAlignment="1">
      <alignment horizontal="center" vertical="center" wrapText="1"/>
    </xf>
    <xf numFmtId="0" fontId="51" fillId="2" borderId="51" xfId="0" applyFont="1" applyFill="1" applyBorder="1" applyAlignment="1">
      <alignment horizontal="center" vertical="center" wrapText="1"/>
    </xf>
    <xf numFmtId="0" fontId="51" fillId="2" borderId="52" xfId="0" applyFont="1" applyFill="1" applyBorder="1" applyAlignment="1">
      <alignment horizontal="center" vertical="center" wrapText="1"/>
    </xf>
    <xf numFmtId="0" fontId="51" fillId="2" borderId="0" xfId="0" applyFont="1" applyFill="1" applyAlignment="1">
      <alignment horizontal="center" vertical="center" wrapText="1"/>
    </xf>
    <xf numFmtId="0" fontId="51" fillId="2" borderId="53" xfId="0" applyFont="1" applyFill="1" applyBorder="1" applyAlignment="1">
      <alignment horizontal="center" vertical="center" wrapText="1"/>
    </xf>
    <xf numFmtId="0" fontId="51" fillId="2" borderId="54" xfId="0" applyFont="1" applyFill="1" applyBorder="1" applyAlignment="1">
      <alignment horizontal="center" vertical="center" wrapText="1"/>
    </xf>
    <xf numFmtId="0" fontId="51" fillId="2" borderId="45" xfId="0" applyFont="1" applyFill="1" applyBorder="1" applyAlignment="1">
      <alignment horizontal="center" vertical="center" wrapText="1"/>
    </xf>
    <xf numFmtId="0" fontId="51" fillId="2" borderId="55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51" fillId="0" borderId="56" xfId="0" applyFont="1" applyBorder="1" applyAlignment="1">
      <alignment horizontal="center" vertical="center" wrapText="1"/>
    </xf>
    <xf numFmtId="168" fontId="66" fillId="0" borderId="70" xfId="0" applyNumberFormat="1" applyFont="1" applyBorder="1" applyAlignment="1">
      <alignment horizontal="center" vertical="center"/>
    </xf>
    <xf numFmtId="168" fontId="64" fillId="0" borderId="70" xfId="1" applyNumberFormat="1" applyFont="1" applyBorder="1" applyAlignment="1">
      <alignment horizontal="center" vertical="center"/>
    </xf>
    <xf numFmtId="0" fontId="29" fillId="0" borderId="47" xfId="0" applyFont="1" applyBorder="1" applyAlignment="1">
      <alignment horizontal="left" vertical="center" readingOrder="1"/>
    </xf>
  </cellXfs>
  <cellStyles count="2">
    <cellStyle name="Normal" xfId="0" builtinId="0" customBuiltin="1"/>
    <cellStyle name="Porcentagem" xfId="1" builtinId="5"/>
  </cellStyles>
  <dxfs count="0"/>
  <tableStyles count="0" defaultTableStyle="TableStyleMedium2" defaultPivotStyle="PivotStyleLight16"/>
  <colors>
    <mruColors>
      <color rgb="FF83CA4E"/>
      <color rgb="FF00A84C"/>
      <color rgb="FFC0C0C0"/>
      <color rgb="FF6F8DB9"/>
      <color rgb="FF0000BF"/>
      <color rgb="FFED7D31"/>
      <color rgb="FFE97132"/>
      <color rgb="FF3A3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Fx'!$A$60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7-4849-8735-BD33B4E73F6A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7-4849-8735-BD33B4E7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Fx'!$A$65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4-42E9-BFF8-43952C96211E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Fx'!$A$66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F4-42E9-BFF8-43952C96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Fx'!$A$70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D-4619-83D1-64346F08A43E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Fx'!$A$71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D-4619-83D1-64346F08A43E}"/>
            </c:ext>
          </c:extLst>
        </c:ser>
        <c:ser>
          <c:idx val="2"/>
          <c:order val="2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Fx'!$A$72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6D-4619-83D1-64346F08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Fx'!$A$75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3-4485-BA45-ED058AA44945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Fx'!$A$76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3-4485-BA45-ED058AA4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Fx'!$A$80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2-41AF-A1EA-254ED359848C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Fx'!$A$81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2-41AF-A1EA-254ED359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dLbl>
              <c:idx val="0"/>
              <c:layout>
                <c:manualLayout>
                  <c:x val="2.0125786163521966E-2"/>
                  <c:y val="2.6862331608080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4E-41D5-BD53-88A5D86D64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Fx'!$A$85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9-4373-88C5-80FE09363D45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Fx'!$A$86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9-4373-88C5-80FE09363D45}"/>
            </c:ext>
          </c:extLst>
        </c:ser>
        <c:ser>
          <c:idx val="2"/>
          <c:order val="2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Fx'!$A$87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9-4373-88C5-80FE0936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Fx'!$A$91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3-496D-AE80-64C9A00C7EF6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Fx'!$A$92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3-496D-AE80-64C9A00C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Fx'!$A$96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2-4D39-8841-84B5DFA0F7D8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Fx'!$A$97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2-4D39-8841-84B5DFA0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Fx'!$A$101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BB1-9D08-94E7DE0C55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Fx'!$A$102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3-4BB1-9D08-94E7DE0C55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Fx'!$A$103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3-4BB1-9D08-94E7DE0C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2-7B34-49A4-B8DC-4CE881E4F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Fx'!$A$107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49A4-B8DC-4CE881E4FF09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Fx'!$A$108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4-49A4-B8DC-4CE881E4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Fx'!$A$112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5-449A-98A6-F4E47269E58F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Fx'!$A$113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5-449A-98A6-F4E47269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Fx'!$A$117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2-4456-AE87-E359AEC043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Fx'!$A$118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2-4456-AE87-E359AEC043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Fx'!$A$119</c:f>
              <c:numCache>
                <c:formatCode>_-#.##0_-;\-#.##0_-;_-"-"_-;_-@_-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2-4456-AE87-E359AEC0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13376867023448E-2"/>
          <c:y val="9.7520131415222713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Fx'!$B$11</c:f>
              <c:strCache>
                <c:ptCount val="1"/>
                <c:pt idx="0">
                  <c:v>#N/A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Fx'!$C$11:$N$11</c:f>
              <c:numCache>
                <c:formatCode>_-#.##0_-;\-#.##0_-;_-"-"_-;_-@_-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E-4EAF-BA6E-CAE7A9EFE2CC}"/>
            </c:ext>
          </c:extLst>
        </c:ser>
        <c:ser>
          <c:idx val="1"/>
          <c:order val="1"/>
          <c:tx>
            <c:strRef>
              <c:f>'Cement Volumes &amp; Prices - Fx'!$B$12</c:f>
              <c:strCache>
                <c:ptCount val="1"/>
                <c:pt idx="0">
                  <c:v>#N/A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Fx'!$C$12:$N$12</c:f>
              <c:numCache>
                <c:formatCode>_-#.##0_-;\-#.##0_-;_-"-"_-;_-@_-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E-4EAF-BA6E-CAE7A9EFE2C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 w="19050" cap="sq">
          <a:noFill/>
          <a:beve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949447887061454E-2"/>
          <c:y val="0.10393386243386243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Fx'!$B$7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Fx'!$C$7:$N$7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7-489B-A235-2AEA492C4215}"/>
            </c:ext>
          </c:extLst>
        </c:ser>
        <c:ser>
          <c:idx val="1"/>
          <c:order val="1"/>
          <c:tx>
            <c:strRef>
              <c:f>'Cement Volumes &amp; Prices - Fx'!$B$8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9304638700269964E-2"/>
                  <c:y val="-0.159807447373704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F7-489B-A235-2AEA492C4215}"/>
                </c:ext>
              </c:extLst>
            </c:dLbl>
            <c:dLbl>
              <c:idx val="9"/>
              <c:layout>
                <c:manualLayout>
                  <c:x val="-2.9304638700269826E-2"/>
                  <c:y val="-0.17620424470477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F7-489B-A235-2AEA492C42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Fx'!$C$8:$N$8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7-489B-A235-2AEA492C421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872983789616776E-2"/>
          <c:y val="0.12781237741255375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Fx'!$B$15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Fx'!$C$14:$N$14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Fx'!$C$15:$N$15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7-4924-8CE9-7316054C0D9B}"/>
            </c:ext>
          </c:extLst>
        </c:ser>
        <c:ser>
          <c:idx val="1"/>
          <c:order val="1"/>
          <c:tx>
            <c:strRef>
              <c:f>'Cement Volumes &amp; Prices - Fx'!$B$16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Fx'!$C$14:$N$14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Fx'!$C$16:$N$16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7-4924-8CE9-7316054C0D9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66171009245249E-2"/>
          <c:y val="9.9897082695481684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Fx'!$B$19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Fx'!$C$18:$N$18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Fx'!$C$19:$N$19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0-404F-8864-BC38C347F765}"/>
            </c:ext>
          </c:extLst>
        </c:ser>
        <c:ser>
          <c:idx val="1"/>
          <c:order val="1"/>
          <c:tx>
            <c:strRef>
              <c:f>'Cement Volumes &amp; Prices - Fx'!$B$20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Fx'!$C$18:$N$18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Fx'!$C$20:$N$20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0-404F-8864-BC38C347F76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458423015989168E-2"/>
          <c:y val="0.12429006166157344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Fx'!$B$24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Fx'!$C$23:$N$23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Fx'!$C$24:$N$24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7E9-9875-CCF086F88678}"/>
            </c:ext>
          </c:extLst>
        </c:ser>
        <c:ser>
          <c:idx val="1"/>
          <c:order val="1"/>
          <c:tx>
            <c:strRef>
              <c:f>'Cement Volumes &amp; Prices - Fx'!$B$25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Fx'!$C$23:$N$23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Fx'!$C$25:$N$25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5-47E9-9875-CCF086F8867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21005423273209E-2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Fx'!$B$28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Fx'!$C$27:$N$27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Fx'!$C$28:$N$28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0-4E18-AC6A-FC95312BFA28}"/>
            </c:ext>
          </c:extLst>
        </c:ser>
        <c:ser>
          <c:idx val="1"/>
          <c:order val="1"/>
          <c:tx>
            <c:strRef>
              <c:f>'Cement Volumes &amp; Prices - Fx'!$B$29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Fx'!$C$27:$N$27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Fx'!$C$29:$N$29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0-4E18-AC6A-FC95312BFA2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579471182412371E-2"/>
          <c:y val="0.11376679586563307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Fx'!$B$32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Fx'!$C$31:$N$31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Fx'!$C$32:$N$32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F-49A1-B3C1-0AB2EB1BE6C5}"/>
            </c:ext>
          </c:extLst>
        </c:ser>
        <c:ser>
          <c:idx val="1"/>
          <c:order val="1"/>
          <c:tx>
            <c:strRef>
              <c:f>'Cement Volumes &amp; Prices - Fx'!$B$33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Fx'!$C$31:$N$31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Fx'!$C$33:$N$33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F-49A1-B3C1-0AB2EB1BE6C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9050" cap="sq" cmpd="sng" algn="ctr">
      <a:solidFill>
        <a:srgbClr val="C0C0C0"/>
      </a:solidFill>
      <a:prstDash val="sysDash"/>
      <a:beve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402433187859441E-3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Fx'!$B$36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Fx'!$C$35:$N$35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Fx'!$C$36:$N$36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4-4756-A603-721C5101F562}"/>
            </c:ext>
          </c:extLst>
        </c:ser>
        <c:ser>
          <c:idx val="1"/>
          <c:order val="1"/>
          <c:tx>
            <c:strRef>
              <c:f>'Cement Volumes &amp; Prices - Fx'!$B$37</c:f>
              <c:strCache>
                <c:ptCount val="1"/>
                <c:pt idx="0">
                  <c:v>#N/D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Fx'!$C$35:$N$35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Fx'!$C$37:$N$37</c:f>
              <c:numCache>
                <c:formatCode>_-#,##0_-;\-#,##0_-;_-"-"_-;_-@_-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4-4756-A603-721C5101F56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85217745835E-2"/>
          <c:y val="0.24322161652870314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'EBITDA - Fx'!$B$13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Fx'!$C$13:$F$13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4-4515-A5B9-28B7B18187C4}"/>
            </c:ext>
          </c:extLst>
        </c:ser>
        <c:ser>
          <c:idx val="1"/>
          <c:order val="1"/>
          <c:tx>
            <c:strRef>
              <c:f>'EBITDA - Fx'!$B$14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Fx'!$C$14:$F$14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4-4515-A5B9-28B7B18187C4}"/>
            </c:ext>
          </c:extLst>
        </c:ser>
        <c:ser>
          <c:idx val="2"/>
          <c:order val="2"/>
          <c:tx>
            <c:strRef>
              <c:f>'EBITDA - Fx'!$B$15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Fx'!$C$15:$F$15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4-4515-A5B9-28B7B1818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16981132075472E-2"/>
          <c:y val="1.3947566898965211E-2"/>
          <c:w val="0.9505840071877808"/>
          <c:h val="0.7826086956521739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C0C0C0"/>
            </a:solidFill>
            <a:ln>
              <a:noFill/>
            </a:ln>
            <a:effectLst/>
          </c:spPr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3-49D8-90A0-7A726B3AC7B2}"/>
              </c:ext>
            </c:extLst>
          </c:dPt>
          <c:dPt>
            <c:idx val="2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3-49D8-90A0-7A726B3AC7B2}"/>
              </c:ext>
            </c:extLst>
          </c:dPt>
          <c:dPt>
            <c:idx val="3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43-49D8-90A0-7A726B3AC7B2}"/>
              </c:ext>
            </c:extLst>
          </c:dPt>
          <c:dPt>
            <c:idx val="8"/>
            <c:invertIfNegative val="1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F43-49D8-90A0-7A726B3AC7B2}"/>
              </c:ext>
            </c:extLst>
          </c:dPt>
          <c:dLbls>
            <c:dLbl>
              <c:idx val="0"/>
              <c:layout>
                <c:manualLayout>
                  <c:x val="0"/>
                  <c:y val="5.2334943639291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36-41D0-94A6-C1840A5D0B30}"/>
                </c:ext>
              </c:extLst>
            </c:dLbl>
            <c:dLbl>
              <c:idx val="1"/>
              <c:layout>
                <c:manualLayout>
                  <c:x val="-2.2461814914645105E-3"/>
                  <c:y val="-0.277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3-49D8-90A0-7A726B3AC7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43-49D8-90A0-7A726B3AC7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43-49D8-90A0-7A726B3AC7B2}"/>
                </c:ext>
              </c:extLst>
            </c:dLbl>
            <c:dLbl>
              <c:idx val="8"/>
              <c:layout>
                <c:manualLayout>
                  <c:x val="0"/>
                  <c:y val="-0.334138486312399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43-49D8-90A0-7A726B3AC7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#N/A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#N/A</c:v>
                </c:pt>
              </c:strCache>
            </c:strRef>
          </c:cat>
          <c:val>
            <c:numRef>
              <c:f>'EBITDA - Fx'!$K$15:$S$15</c:f>
              <c:numCache>
                <c:formatCode>_-#.##0_-;\-#.##0_-;_-"-"_-;_-@_-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C0C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F43-49D8-90A0-7A726B3AC7B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0.100644122383252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43-49D8-90A0-7A726B3AC7B2}"/>
                </c:ext>
              </c:extLst>
            </c:dLbl>
            <c:dLbl>
              <c:idx val="3"/>
              <c:layout>
                <c:manualLayout>
                  <c:x val="2.2461814914645105E-3"/>
                  <c:y val="-0.22946859903381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43-49D8-90A0-7A726B3AC7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36-41D0-94A6-C1840A5D0B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#N/A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#N/A</c:v>
                </c:pt>
              </c:strCache>
            </c:strRef>
          </c:cat>
          <c:val>
            <c:numRef>
              <c:f>'EBITDA - Fx'!$K$16:$S$16</c:f>
              <c:numCache>
                <c:formatCode>_-#.##0_-;\-#.##0_-;_-"-"_-;_-@_-</c:formatCode>
                <c:ptCount val="9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3-49D8-90A0-7A726B3AC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66005950154821E-2"/>
          <c:y val="0.30345765989777596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'Net Income - Fx'!$A$10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Income - Fx'!$B$9:$E$9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'Net Income - Fx'!$B$10:$E$10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D-4A33-A25C-EC265B6C8707}"/>
            </c:ext>
          </c:extLst>
        </c:ser>
        <c:ser>
          <c:idx val="1"/>
          <c:order val="1"/>
          <c:tx>
            <c:strRef>
              <c:f>'Net Income - Fx'!$A$11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Income - Fx'!$B$9:$E$9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'Net Income - Fx'!$B$11:$E$11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D-4A33-A25C-EC265B6C8707}"/>
            </c:ext>
          </c:extLst>
        </c:ser>
        <c:ser>
          <c:idx val="2"/>
          <c:order val="2"/>
          <c:tx>
            <c:strRef>
              <c:f>'Net Income - Fx'!$A$12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 Income - Fx'!$B$9:$E$9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'Net Income - Fx'!$B$12:$E$12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D-4A33-A25C-EC265B6C8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76007951836206E-2"/>
          <c:y val="2.0128824476650563E-2"/>
          <c:w val="0.9505840071877808"/>
          <c:h val="0.97987117552334946"/>
        </c:manualLayout>
      </c:layout>
      <c:barChart>
        <c:barDir val="col"/>
        <c:grouping val="stacked"/>
        <c:varyColors val="0"/>
        <c:ser>
          <c:idx val="0"/>
          <c:order val="0"/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1-AE57-4CB3-86D2-31357F41EFF5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AE57-4CB3-86D2-31357F41EFF5}"/>
              </c:ext>
            </c:extLst>
          </c:dPt>
          <c:dPt>
            <c:idx val="3"/>
            <c:invertIfNegative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E57-4CB3-86D2-31357F41EFF5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AE57-4CB3-86D2-31357F41EFF5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AE57-4CB3-86D2-31357F41EFF5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468-44EC-B705-02231A52FF6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AE57-4CB3-86D2-31357F41EFF5}"/>
              </c:ext>
            </c:extLst>
          </c:dPt>
          <c:dLbls>
            <c:dLbl>
              <c:idx val="2"/>
              <c:layout>
                <c:manualLayout>
                  <c:x val="2.2461814914645105E-3"/>
                  <c:y val="-0.169765554667985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57-4CB3-86D2-31357F41EFF5}"/>
                </c:ext>
              </c:extLst>
            </c:dLbl>
            <c:dLbl>
              <c:idx val="7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0" tIns="0" rIns="0" bIns="0" anchor="t" anchorCtr="0">
                  <a:spAutoFit/>
                </a:bodyPr>
                <a:lstStyle/>
                <a:p>
                  <a:pPr>
                    <a:defRPr b="1"/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E468-44EC-B705-02231A52FF66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0" tIns="0" rIns="0" bIns="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'Net Income - Fx'!$G$11:$O$11</c:f>
              <c:strCache>
                <c:ptCount val="9"/>
                <c:pt idx="0">
                  <c:v>#N/A</c:v>
                </c:pt>
                <c:pt idx="1">
                  <c:v>L300</c:v>
                </c:pt>
                <c:pt idx="2">
                  <c:v>EBITDA</c:v>
                </c:pt>
                <c:pt idx="3">
                  <c:v>Deprec.</c:v>
                </c:pt>
                <c:pt idx="4">
                  <c:v>Fin. Results</c:v>
                </c:pt>
                <c:pt idx="5">
                  <c:v>Equity Pickup</c:v>
                </c:pt>
                <c:pt idx="6">
                  <c:v>Tax</c:v>
                </c:pt>
                <c:pt idx="7">
                  <c:v>FX/Others</c:v>
                </c:pt>
                <c:pt idx="8">
                  <c:v>2025</c:v>
                </c:pt>
              </c:strCache>
            </c:strRef>
          </c:cat>
          <c:val>
            <c:numRef>
              <c:f>'Net Income - Fx'!$G$12:$O$12</c:f>
              <c:numCache>
                <c:formatCode>_-#.##0_-;\-#.##0_-;_-"-"_-;_-@_-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57-4CB3-86D2-31357F41E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0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66005950154821E-2"/>
          <c:y val="0.30345765989777596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Generation - Fx'!$A$9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Fx'!$B$9:$E$9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C-4926-989D-CC8835F16275}"/>
            </c:ext>
          </c:extLst>
        </c:ser>
        <c:ser>
          <c:idx val="1"/>
          <c:order val="1"/>
          <c:tx>
            <c:strRef>
              <c:f>'Cash Generation - Fx'!$A$10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Fx'!$B$10:$E$10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C-4926-989D-CC8835F16275}"/>
            </c:ext>
          </c:extLst>
        </c:ser>
        <c:ser>
          <c:idx val="2"/>
          <c:order val="2"/>
          <c:tx>
            <c:strRef>
              <c:f>'Cash Generation - Fx'!$A$11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Fx'!$B$11:$E$11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C-4926-989D-CC8835F162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522189443300721E-2"/>
          <c:y val="2.0128824476650563E-2"/>
          <c:w val="0.9505840071877808"/>
          <c:h val="0.78260869565217395"/>
        </c:manualLayout>
      </c:layout>
      <c:barChart>
        <c:barDir val="col"/>
        <c:grouping val="stacked"/>
        <c:varyColors val="0"/>
        <c:ser>
          <c:idx val="0"/>
          <c:order val="0"/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1-A86D-4C69-9FFE-A8FA762BC7E7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A86D-4C69-9FFE-A8FA762BC7E7}"/>
              </c:ext>
            </c:extLst>
          </c:dPt>
          <c:dPt>
            <c:idx val="3"/>
            <c:invertIfNegative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86D-4C69-9FFE-A8FA762BC7E7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2-A86D-4C69-9FFE-A8FA762BC7E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A86D-4C69-9FFE-A8FA762BC7E7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3-A86D-4C69-9FFE-A8FA762BC7E7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1-A86D-4C69-9FFE-A8FA762BC7E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A86D-4C69-9FFE-A8FA762BC7E7}"/>
              </c:ext>
            </c:extLst>
          </c:dPt>
          <c:dLbls>
            <c:dLbl>
              <c:idx val="2"/>
              <c:layout>
                <c:manualLayout>
                  <c:x val="2.2461814914645105E-3"/>
                  <c:y val="-0.169765554667985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6D-4C69-9FFE-A8FA762BC7E7}"/>
                </c:ext>
              </c:extLst>
            </c:dLbl>
            <c:dLbl>
              <c:idx val="8"/>
              <c:layout>
                <c:manualLayout>
                  <c:x val="2.2461814914643457E-3"/>
                  <c:y val="-0.326664828128368"/>
                </c:manualLayout>
              </c:layout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0" tIns="0" rIns="0" bIns="0" anchor="t" anchorCtr="0">
                  <a:spAutoFit/>
                </a:bodyPr>
                <a:lstStyle/>
                <a:p>
                  <a:pPr>
                    <a:defRPr b="1"/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13-A86D-4C69-9FFE-A8FA762BC7E7}"/>
                </c:ext>
              </c:extLst>
            </c:dLbl>
            <c:dLbl>
              <c:idx val="9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0" tIns="0" rIns="0" bIns="0" anchor="t" anchorCtr="0">
                  <a:spAutoFit/>
                </a:bodyPr>
                <a:lstStyle/>
                <a:p>
                  <a:pPr>
                    <a:defRPr b="1"/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11-A86D-4C69-9FFE-A8FA762BC7E7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0" tIns="0" rIns="0" bIns="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'Cash Generation - Fx'!$G$10:$Q$10</c:f>
              <c:strCache>
                <c:ptCount val="11"/>
                <c:pt idx="0">
                  <c:v>#N/A</c:v>
                </c:pt>
                <c:pt idx="1">
                  <c:v>L300</c:v>
                </c:pt>
                <c:pt idx="2">
                  <c:v>EBITDA</c:v>
                </c:pt>
                <c:pt idx="3">
                  <c:v>Tax</c:v>
                </c:pt>
                <c:pt idx="4">
                  <c:v>WK</c:v>
                </c:pt>
                <c:pt idx="5">
                  <c:v>CAPEX</c:v>
                </c:pt>
                <c:pt idx="6">
                  <c:v>Div.</c:v>
                </c:pt>
                <c:pt idx="7">
                  <c:v>Fin. Results</c:v>
                </c:pt>
                <c:pt idx="8">
                  <c:v>Invest.</c:v>
                </c:pt>
                <c:pt idx="9">
                  <c:v>FX/Others</c:v>
                </c:pt>
                <c:pt idx="10">
                  <c:v>2025</c:v>
                </c:pt>
              </c:strCache>
            </c:strRef>
          </c:cat>
          <c:val>
            <c:numRef>
              <c:f>'Cash Generation - Fx'!$G$11:$Q$11</c:f>
              <c:numCache>
                <c:formatCode>_-#.##0_-;\-#.##0_-;_-"-"_-;_-@_-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6D-4C69-9FFE-A8FA762BC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0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00788963879515E-2"/>
          <c:y val="0.14712602414059944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 (product)'!$AI$6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Fx'!$D$3:$G$3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D4F-A6A4-46048D615214}"/>
            </c:ext>
          </c:extLst>
        </c:ser>
        <c:ser>
          <c:idx val="1"/>
          <c:order val="1"/>
          <c:tx>
            <c:strRef>
              <c:f>'Vol | Price  (product)'!$AK$6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Fx'!$D$4:$G$4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3-4D4F-A6A4-46048D615214}"/>
            </c:ext>
          </c:extLst>
        </c:ser>
        <c:ser>
          <c:idx val="2"/>
          <c:order val="2"/>
          <c:tx>
            <c:strRef>
              <c:f>'Vol | Price  (product)'!$AM$6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Fx'!$D$5:$G$5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73-4D4F-A6A4-46048D6152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'Vol | Price (product ) - Fx'!$I$3</c:f>
              <c:strCache>
                <c:ptCount val="1"/>
                <c:pt idx="0">
                  <c:v> #N/A 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'Vol |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Fx'!$J$3:$M$3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07-408E-B99A-1B83FEB7A6F1}"/>
            </c:ext>
          </c:extLst>
        </c:ser>
        <c:ser>
          <c:idx val="1"/>
          <c:order val="1"/>
          <c:tx>
            <c:strRef>
              <c:f>'Vol | Price (product ) - Fx'!$I$4</c:f>
              <c:strCache>
                <c:ptCount val="1"/>
                <c:pt idx="0">
                  <c:v> #N/A 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 |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Fx'!$J$4:$M$4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07-408E-B99A-1B83FEB7A6F1}"/>
            </c:ext>
          </c:extLst>
        </c:ser>
        <c:ser>
          <c:idx val="2"/>
          <c:order val="2"/>
          <c:tx>
            <c:strRef>
              <c:f>'Vol | Price (product ) - Fx'!$I$5</c:f>
              <c:strCache>
                <c:ptCount val="1"/>
                <c:pt idx="0">
                  <c:v> #N/A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 |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| Price (product ) - Fx'!$J$5:$M$5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07-408E-B99A-1B83FEB7A6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| Price (product ) - Fx'!$O$3:$O$5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6-42EB-9BBF-7C891279CB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Fx'!$C$9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Fx'!$D$9:$G$9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F-41E9-B7FD-57371A85212B}"/>
            </c:ext>
          </c:extLst>
        </c:ser>
        <c:ser>
          <c:idx val="1"/>
          <c:order val="1"/>
          <c:tx>
            <c:strRef>
              <c:f>'Vol | Price (product ) - Fx'!$C$10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Fx'!$D$10:$G$10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F-41E9-B7FD-57371A85212B}"/>
            </c:ext>
          </c:extLst>
        </c:ser>
        <c:ser>
          <c:idx val="2"/>
          <c:order val="2"/>
          <c:tx>
            <c:strRef>
              <c:f>'Vol | Price (product ) - Fx'!$C$11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Fx'!$D$11:$G$11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F-41E9-B7FD-57371A852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F8DB9"/>
              </a:solidFill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'Vol | Price (product ) - Fx'!$J$9:$M$9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06-431A-A872-9663513ACD35}"/>
            </c:ext>
          </c:extLst>
        </c:ser>
        <c:ser>
          <c:idx val="1"/>
          <c:order val="1"/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'Vol | Price (product ) - Fx'!$J$10:$M$10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06-431A-A872-9663513ACD35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'Vol | Price (product ) - Fx'!$J$11:$M$11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06-431A-A872-9663513ACD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| Price (product ) - Fx'!$O$9:$O$11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2-46B8-B673-56F97F8379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Fx'!$C$15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Fx'!$D$15:$G$15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F-4D70-956F-15E1D842FF4A}"/>
            </c:ext>
          </c:extLst>
        </c:ser>
        <c:ser>
          <c:idx val="1"/>
          <c:order val="1"/>
          <c:tx>
            <c:strRef>
              <c:f>'Vol | Price (product ) - Fx'!$C$16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Fx'!$D$16:$G$16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F-4D70-956F-15E1D842FF4A}"/>
            </c:ext>
          </c:extLst>
        </c:ser>
        <c:ser>
          <c:idx val="2"/>
          <c:order val="2"/>
          <c:tx>
            <c:strRef>
              <c:f>'Vol | Price (product ) - Fx'!$C$17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|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Fx'!$D$17:$G$17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F-4D70-956F-15E1D842F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'Vol | Price (product ) - Fx'!$I$15</c:f>
              <c:strCache>
                <c:ptCount val="1"/>
                <c:pt idx="0">
                  <c:v> #N/A 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'Vol |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Fx'!$J$15:$M$15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2-4A62-85FC-C6DFD5D7D2AB}"/>
            </c:ext>
          </c:extLst>
        </c:ser>
        <c:ser>
          <c:idx val="1"/>
          <c:order val="1"/>
          <c:tx>
            <c:strRef>
              <c:f>'Vol | Price (product ) - Fx'!$I$16</c:f>
              <c:strCache>
                <c:ptCount val="1"/>
                <c:pt idx="0">
                  <c:v> #N/A 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 |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Fx'!$J$16:$M$16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22-4A62-85FC-C6DFD5D7D2AB}"/>
            </c:ext>
          </c:extLst>
        </c:ser>
        <c:ser>
          <c:idx val="2"/>
          <c:order val="2"/>
          <c:tx>
            <c:strRef>
              <c:f>'Vol | Price (product ) - Fx'!$I$17</c:f>
              <c:strCache>
                <c:ptCount val="1"/>
                <c:pt idx="0">
                  <c:v> #N/A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 |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| Price (product ) - Fx'!$J$17:$M$17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22-4A62-85FC-C6DFD5D7D2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Fx'!$O$14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| Price (product ) - Fx'!$O$15:$O$17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F-4DD2-9C1E-A123F3868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| Product'!$AI$6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'!$C$10:$F$10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0-4D2C-B9B7-88F4BA15D447}"/>
            </c:ext>
          </c:extLst>
        </c:ser>
        <c:ser>
          <c:idx val="1"/>
          <c:order val="1"/>
          <c:tx>
            <c:strRef>
              <c:f>'Reg | Product'!$AK$6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'!$C$11:$F$11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0-4D2C-B9B7-88F4BA15D447}"/>
            </c:ext>
          </c:extLst>
        </c:ser>
        <c:ser>
          <c:idx val="2"/>
          <c:order val="2"/>
          <c:tx>
            <c:strRef>
              <c:f>'Reg | Product'!$AM$6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'!$C$12:$F$12</c:f>
              <c:numCache>
                <c:formatCode>_-#,##0_-;\-#,##0_-;_-"-"_-;_-@_-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0-4D2C-B9B7-88F4BA15D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725949200706028E-2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'Reg | Product - Fx '!$I$10</c:f>
              <c:strCache>
                <c:ptCount val="1"/>
                <c:pt idx="0">
                  <c:v>#N/A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'Reg | Product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'!$J$10:$M$10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9-421C-91F9-E760FA19803B}"/>
            </c:ext>
          </c:extLst>
        </c:ser>
        <c:ser>
          <c:idx val="1"/>
          <c:order val="1"/>
          <c:tx>
            <c:strRef>
              <c:f>'Reg | Product - Fx '!$I$11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 | Product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'!$J$11:$M$11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9-421C-91F9-E760FA19803B}"/>
            </c:ext>
          </c:extLst>
        </c:ser>
        <c:ser>
          <c:idx val="2"/>
          <c:order val="2"/>
          <c:tx>
            <c:strRef>
              <c:f>'Reg | Product - Fx '!$I$12</c:f>
              <c:strCache>
                <c:ptCount val="1"/>
                <c:pt idx="0">
                  <c:v>#N/A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 | Product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| Product - Fx '!$J$12:$M$12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9-421C-91F9-E760FA1980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| Product - Fx '!$O$10:$O$12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07A-8877-294F66960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| Product - Fx '!$B$16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'!$C$16:$F$16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1-4A15-B008-2238D8273B0A}"/>
            </c:ext>
          </c:extLst>
        </c:ser>
        <c:ser>
          <c:idx val="1"/>
          <c:order val="1"/>
          <c:tx>
            <c:strRef>
              <c:f>'Reg | Product - Fx '!$B$17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'!$C$17:$F$17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1-4A15-B008-2238D8273B0A}"/>
            </c:ext>
          </c:extLst>
        </c:ser>
        <c:ser>
          <c:idx val="2"/>
          <c:order val="2"/>
          <c:tx>
            <c:strRef>
              <c:f>'Reg | Product - Fx '!$B$18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'!$C$18:$F$18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1-4A15-B008-2238D8273B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F8DB9"/>
              </a:solidFill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'Reg | Product - Fx '!$J$16:$M$16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B-4078-9F5A-21B19BD7E525}"/>
            </c:ext>
          </c:extLst>
        </c:ser>
        <c:ser>
          <c:idx val="1"/>
          <c:order val="1"/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'Reg | Product - Fx '!$J$17:$M$17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B-4078-9F5A-21B19BD7E525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'Reg | Product - Fx '!$J$18:$M$18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DB-4078-9F5A-21B19BD7E5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| Product - Fx '!$O$16:$O$18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695-A277-69D2F3019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| Product - Fx '!$B$22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'!$C$22:$F$22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6-445E-8838-B02667D712C8}"/>
            </c:ext>
          </c:extLst>
        </c:ser>
        <c:ser>
          <c:idx val="1"/>
          <c:order val="1"/>
          <c:tx>
            <c:strRef>
              <c:f>'Reg | Product - Fx '!$B$23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'!$C$23:$F$23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6-445E-8838-B02667D712C8}"/>
            </c:ext>
          </c:extLst>
        </c:ser>
        <c:ser>
          <c:idx val="2"/>
          <c:order val="2"/>
          <c:tx>
            <c:strRef>
              <c:f>'Reg | Product - Fx '!$B$24</c:f>
              <c:strCache>
                <c:ptCount val="1"/>
                <c:pt idx="0">
                  <c:v>#N/A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| Product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'!$C$24:$F$24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6-445E-8838-B02667D712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'Reg | Product - Fx '!$I$22</c:f>
              <c:strCache>
                <c:ptCount val="1"/>
                <c:pt idx="0">
                  <c:v>#N/A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'Reg | Product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'!$J$22:$M$22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4-40D2-B5EE-79BF47463B10}"/>
            </c:ext>
          </c:extLst>
        </c:ser>
        <c:ser>
          <c:idx val="1"/>
          <c:order val="1"/>
          <c:tx>
            <c:strRef>
              <c:f>'Reg | Product - Fx '!$I$23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 | Product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'!$J$23:$M$23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4-40D2-B5EE-79BF47463B10}"/>
            </c:ext>
          </c:extLst>
        </c:ser>
        <c:ser>
          <c:idx val="2"/>
          <c:order val="2"/>
          <c:tx>
            <c:strRef>
              <c:f>'Reg | Product - Fx '!$I$24</c:f>
              <c:strCache>
                <c:ptCount val="1"/>
                <c:pt idx="0">
                  <c:v>#N/A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 | Product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| Product - Fx '!$J$24:$M$24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4-40D2-B5EE-79BF47463B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| Product - Fx '!$O$21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| Product - Fx '!$O$22:$O$24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8-4487-BF22-3AD22D2D6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85217745835E-2"/>
          <c:y val="0.24322161652870314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'EBITDA Accounts - Fx'!$B$13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Accounts - Fx'!$C$12:$G$12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FY</c:v>
                </c:pt>
              </c:strCache>
            </c:strRef>
          </c:cat>
          <c:val>
            <c:numRef>
              <c:f>'EBITDA Accounts - Fx'!$C$13:$G$13</c:f>
              <c:numCache>
                <c:formatCode>_-#,##0_-;\-#,##0_-;_-"-"_-;_-@_-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7-44DA-9CA0-49FA28105787}"/>
            </c:ext>
          </c:extLst>
        </c:ser>
        <c:ser>
          <c:idx val="1"/>
          <c:order val="1"/>
          <c:tx>
            <c:strRef>
              <c:f>'EBITDA Accounts - Fx'!$B$14</c:f>
              <c:strCache>
                <c:ptCount val="1"/>
                <c:pt idx="0">
                  <c:v>#N/D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Accounts - Fx'!$C$12:$G$12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FY</c:v>
                </c:pt>
              </c:strCache>
            </c:strRef>
          </c:cat>
          <c:val>
            <c:numRef>
              <c:f>'EBITDA Accounts - Fx'!$C$14:$G$14</c:f>
              <c:numCache>
                <c:formatCode>_-#,##0_-;\-#,##0_-;_-"-"_-;_-@_-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7-44DA-9CA0-49FA28105787}"/>
            </c:ext>
          </c:extLst>
        </c:ser>
        <c:ser>
          <c:idx val="2"/>
          <c:order val="2"/>
          <c:tx>
            <c:strRef>
              <c:f>'EBITDA Accounts - Fx'!$B$15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Accounts - Fx'!$C$12:$G$12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FY</c:v>
                </c:pt>
              </c:strCache>
            </c:strRef>
          </c:cat>
          <c:val>
            <c:numRef>
              <c:f>'EBITDA Accounts - Fx'!$C$15:$G$15</c:f>
              <c:numCache>
                <c:formatCode>_-#,##0_-;\-#,##0_-;_-"-"_-;_-@_-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7-44DA-9CA0-49FA281057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86200305810395E-2"/>
          <c:y val="0.19779122948614475"/>
          <c:w val="0.9505840071877808"/>
          <c:h val="0.7826086956521739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B3C-4000-A7ED-5AC408A10A5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91C-461F-8A8D-426540B37FC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5BD-4689-85B8-5F014D13CC26}"/>
              </c:ext>
            </c:extLst>
          </c:dPt>
          <c:dLbls>
            <c:dLbl>
              <c:idx val="0"/>
              <c:layout>
                <c:manualLayout>
                  <c:x val="0"/>
                  <c:y val="5.2334943639291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3C-4000-A7ED-5AC408A10A53}"/>
                </c:ext>
              </c:extLst>
            </c:dLbl>
            <c:dLbl>
              <c:idx val="1"/>
              <c:layout>
                <c:manualLayout>
                  <c:x val="-2.2461814914645105E-3"/>
                  <c:y val="-0.277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3C-4000-A7ED-5AC408A10A53}"/>
                </c:ext>
              </c:extLst>
            </c:dLbl>
            <c:dLbl>
              <c:idx val="2"/>
              <c:layout>
                <c:manualLayout>
                  <c:x val="8.9847259658580418E-3"/>
                  <c:y val="5.82241630276564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1C-461F-8A8D-426540B37FC5}"/>
                </c:ext>
              </c:extLst>
            </c:dLbl>
            <c:dLbl>
              <c:idx val="6"/>
              <c:layout>
                <c:manualLayout>
                  <c:x val="0"/>
                  <c:y val="-0.334138486312399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BD-4689-85B8-5F014D13C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'EBITDA Accounts - Fx'!$J$14:$P$14</c:f>
              <c:strCache>
                <c:ptCount val="7"/>
                <c:pt idx="0">
                  <c:v>#N/A</c:v>
                </c:pt>
                <c:pt idx="1">
                  <c:v>L300</c:v>
                </c:pt>
                <c:pt idx="2">
                  <c:v>Var. Cost</c:v>
                </c:pt>
                <c:pt idx="3">
                  <c:v>FC +SG&amp;A</c:v>
                </c:pt>
                <c:pt idx="4">
                  <c:v>Fx/Others</c:v>
                </c:pt>
                <c:pt idx="5">
                  <c:v>2026</c:v>
                </c:pt>
                <c:pt idx="6">
                  <c:v>L500</c:v>
                </c:pt>
              </c:strCache>
            </c:strRef>
          </c:cat>
          <c:val>
            <c:numRef>
              <c:f>'EBITDA Accounts - Fx'!$J$15:$P$15</c:f>
              <c:numCache>
                <c:formatCode>_-#.##0_-;\-#.##0_-;_-"-"_-;_-@_-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3C-4000-A7ED-5AC408A10A53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3C-4000-A7ED-5AC408A10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'EBITDA Accounts - Fx'!$J$14:$P$14</c:f>
              <c:strCache>
                <c:ptCount val="7"/>
                <c:pt idx="0">
                  <c:v>#N/A</c:v>
                </c:pt>
                <c:pt idx="1">
                  <c:v>L300</c:v>
                </c:pt>
                <c:pt idx="2">
                  <c:v>Var. Cost</c:v>
                </c:pt>
                <c:pt idx="3">
                  <c:v>FC +SG&amp;A</c:v>
                </c:pt>
                <c:pt idx="4">
                  <c:v>Fx/Others</c:v>
                </c:pt>
                <c:pt idx="5">
                  <c:v>2026</c:v>
                </c:pt>
                <c:pt idx="6">
                  <c:v>L500</c:v>
                </c:pt>
              </c:strCache>
            </c:strRef>
          </c:cat>
          <c:val>
            <c:numRef>
              <c:f>'EBITDA Accounts - Fx'!$J$16:$P$16</c:f>
              <c:numCache>
                <c:formatCode>_-#.##0_-;\-#.##0_-;_-"-"_-;_-@_-</c:formatCode>
                <c:ptCount val="7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3C-4000-A7ED-5AC408A1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image" Target="../media/image3.svg"/><Relationship Id="rId4" Type="http://schemas.openxmlformats.org/officeDocument/2006/relationships/chart" Target="../charts/chart16.xml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1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5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image" Target="../media/image3.svg"/><Relationship Id="rId7" Type="http://schemas.openxmlformats.org/officeDocument/2006/relationships/chart" Target="../charts/chart31.xml"/><Relationship Id="rId2" Type="http://schemas.openxmlformats.org/officeDocument/2006/relationships/image" Target="../media/image2.png"/><Relationship Id="rId1" Type="http://schemas.openxmlformats.org/officeDocument/2006/relationships/chart" Target="../charts/chart27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image" Target="../media/image3.svg"/><Relationship Id="rId7" Type="http://schemas.openxmlformats.org/officeDocument/2006/relationships/chart" Target="../charts/chart40.xml"/><Relationship Id="rId2" Type="http://schemas.openxmlformats.org/officeDocument/2006/relationships/image" Target="../media/image2.png"/><Relationship Id="rId1" Type="http://schemas.openxmlformats.org/officeDocument/2006/relationships/chart" Target="../charts/chart36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45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152400</xdr:rowOff>
    </xdr:from>
    <xdr:to>
      <xdr:col>29</xdr:col>
      <xdr:colOff>241300</xdr:colOff>
      <xdr:row>49</xdr:row>
      <xdr:rowOff>45720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6DBBB4C-915F-4057-B331-B346276B231A}"/>
            </a:ext>
          </a:extLst>
        </xdr:cNvPr>
        <xdr:cNvSpPr/>
      </xdr:nvSpPr>
      <xdr:spPr>
        <a:xfrm>
          <a:off x="0" y="701040"/>
          <a:ext cx="22781260" cy="8305800"/>
        </a:xfrm>
        <a:prstGeom prst="rect">
          <a:avLst/>
        </a:prstGeom>
        <a:gradFill flip="none" rotWithShape="1">
          <a:gsLst>
            <a:gs pos="44000">
              <a:srgbClr val="0432FF"/>
            </a:gs>
            <a:gs pos="100000">
              <a:schemeClr val="bg1">
                <a:alpha val="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27940</xdr:colOff>
      <xdr:row>0</xdr:row>
      <xdr:rowOff>0</xdr:rowOff>
    </xdr:from>
    <xdr:to>
      <xdr:col>15</xdr:col>
      <xdr:colOff>731520</xdr:colOff>
      <xdr:row>49</xdr:row>
      <xdr:rowOff>30481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B49DCB-73B5-4611-9D7F-0D1203A57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7940" y="0"/>
          <a:ext cx="12362180" cy="8991601"/>
        </a:xfrm>
        <a:prstGeom prst="rect">
          <a:avLst/>
        </a:prstGeom>
      </xdr:spPr>
    </xdr:pic>
    <xdr:clientData/>
  </xdr:twoCellAnchor>
  <xdr:twoCellAnchor>
    <xdr:from>
      <xdr:col>11</xdr:col>
      <xdr:colOff>499505</xdr:colOff>
      <xdr:row>0</xdr:row>
      <xdr:rowOff>77207</xdr:rowOff>
    </xdr:from>
    <xdr:to>
      <xdr:col>13</xdr:col>
      <xdr:colOff>644542</xdr:colOff>
      <xdr:row>49</xdr:row>
      <xdr:rowOff>14539</xdr:rowOff>
    </xdr:to>
    <xdr:sp macro="" textlink="">
      <xdr:nvSpPr>
        <xdr:cNvPr id="4" name="Forma Livre: Forma 7">
          <a:extLst>
            <a:ext uri="{FF2B5EF4-FFF2-40B4-BE49-F238E27FC236}">
              <a16:creationId xmlns:a16="http://schemas.microsoft.com/office/drawing/2014/main" id="{0CF29A17-06BA-4A1F-B032-9434C83CD4E8}"/>
            </a:ext>
          </a:extLst>
        </xdr:cNvPr>
        <xdr:cNvSpPr/>
      </xdr:nvSpPr>
      <xdr:spPr>
        <a:xfrm rot="21080737">
          <a:off x="9049145" y="77207"/>
          <a:ext cx="1699517" cy="8898452"/>
        </a:xfrm>
        <a:custGeom>
          <a:avLst/>
          <a:gdLst>
            <a:gd name="connsiteX0" fmla="*/ 0 w 1323975"/>
            <a:gd name="connsiteY0" fmla="*/ 0 h 5010150"/>
            <a:gd name="connsiteX1" fmla="*/ 1323975 w 1323975"/>
            <a:gd name="connsiteY1" fmla="*/ 5010150 h 501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323975" h="5010150">
              <a:moveTo>
                <a:pt x="0" y="0"/>
              </a:moveTo>
              <a:lnTo>
                <a:pt x="1323975" y="5010150"/>
              </a:lnTo>
            </a:path>
          </a:pathLst>
        </a:custGeom>
        <a:noFill/>
        <a:ln w="34925" cap="rnd">
          <a:solidFill>
            <a:schemeClr val="bg1"/>
          </a:solidFill>
          <a:prstDash val="sysDot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="horz" wrap="square" lIns="121919" tIns="60959" rIns="121919" bIns="60959" numCol="1" spcCol="38100" rtlCol="0" anchor="t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219170" eaLnBrk="1" fontAlgn="auto" latinLnBrk="1">
            <a:spcBef>
              <a:spcPts val="0"/>
            </a:spcBef>
            <a:spcAft>
              <a:spcPts val="0"/>
            </a:spcAft>
            <a:defRPr/>
          </a:pPr>
          <a:endParaRPr lang="pt-BR" sz="2400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0</xdr:col>
      <xdr:colOff>565072</xdr:colOff>
      <xdr:row>9</xdr:row>
      <xdr:rowOff>21191</xdr:rowOff>
    </xdr:from>
    <xdr:to>
      <xdr:col>5</xdr:col>
      <xdr:colOff>741177</xdr:colOff>
      <xdr:row>14</xdr:row>
      <xdr:rowOff>28339</xdr:rowOff>
    </xdr:to>
    <xdr:pic>
      <xdr:nvPicPr>
        <xdr:cNvPr id="5" name="Gráfico 13">
          <a:extLst>
            <a:ext uri="{FF2B5EF4-FFF2-40B4-BE49-F238E27FC236}">
              <a16:creationId xmlns:a16="http://schemas.microsoft.com/office/drawing/2014/main" id="{B5B497FA-C5F3-497E-9948-4B664BED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65072" y="1667111"/>
          <a:ext cx="4062305" cy="921548"/>
        </a:xfrm>
        <a:prstGeom prst="rect">
          <a:avLst/>
        </a:prstGeom>
      </xdr:spPr>
    </xdr:pic>
    <xdr:clientData/>
  </xdr:twoCellAnchor>
  <xdr:twoCellAnchor>
    <xdr:from>
      <xdr:col>14</xdr:col>
      <xdr:colOff>15240</xdr:colOff>
      <xdr:row>27</xdr:row>
      <xdr:rowOff>16930</xdr:rowOff>
    </xdr:from>
    <xdr:to>
      <xdr:col>21</xdr:col>
      <xdr:colOff>723900</xdr:colOff>
      <xdr:row>35</xdr:row>
      <xdr:rowOff>68580</xdr:rowOff>
    </xdr:to>
    <xdr:sp macro="" textlink="">
      <xdr:nvSpPr>
        <xdr:cNvPr id="6" name="Modelo de  apresentação">
          <a:extLst>
            <a:ext uri="{FF2B5EF4-FFF2-40B4-BE49-F238E27FC236}">
              <a16:creationId xmlns:a16="http://schemas.microsoft.com/office/drawing/2014/main" id="{48141635-B712-4695-BDD6-0C03B1F2341A}"/>
            </a:ext>
          </a:extLst>
        </xdr:cNvPr>
        <xdr:cNvSpPr txBox="1"/>
      </xdr:nvSpPr>
      <xdr:spPr>
        <a:xfrm>
          <a:off x="10896600" y="4954690"/>
          <a:ext cx="6149340" cy="1514690"/>
        </a:xfrm>
        <a:prstGeom prst="rect">
          <a:avLst/>
        </a:prstGeom>
        <a:ln w="25400">
          <a:miter lim="400000"/>
        </a:ln>
        <a:extLst>
          <a:ext uri="{C572A759-6A51-4108-AA02-DFA0A04FC94B}">
            <ma14:wrappingTextBoxFlag xmlns:r="http://schemas.openxmlformats.org/officeDocument/2006/relationships" xmlns:p="http://schemas.openxmlformats.org/presentationml/2006/main" xmlns:ma14="http://schemas.microsoft.com/office/mac/drawingml/2011/main" xmlns:a14="http://schemas.microsoft.com/office/drawing/2010/main" xmlns:m="http://schemas.openxmlformats.org/officeDocument/2006/math" xmlns="" xmlns:lc="http://schemas.openxmlformats.org/drawingml/2006/lockedCanvas" val="1"/>
          </a:ext>
        </a:extLst>
      </xdr:spPr>
      <xdr:txBody>
        <a:bodyPr wrap="square" tIns="45720" bIns="4572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>
            <a:lnSpc>
              <a:spcPts val="5500"/>
            </a:lnSpc>
            <a:spcBef>
              <a:spcPts val="0"/>
            </a:spcBef>
            <a:spcAft>
              <a:spcPts val="0"/>
            </a:spcAft>
            <a:defRPr sz="12600">
              <a:solidFill>
                <a:srgbClr val="0000B7"/>
              </a:solidFill>
              <a:latin typeface="Votorantim Sans Bold"/>
              <a:ea typeface="Votorantim Sans Bold"/>
              <a:cs typeface="Votorantim Sans Bold"/>
              <a:sym typeface="Votorantim Sans Bold"/>
            </a:defRPr>
          </a:pPr>
          <a:r>
            <a:rPr lang="en-US" sz="4000" b="1" kern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sym typeface="Votorantim Sans Bold"/>
            </a:rPr>
            <a:t>Global Results</a:t>
          </a:r>
        </a:p>
      </xdr:txBody>
    </xdr:sp>
    <xdr:clientData/>
  </xdr:twoCellAnchor>
  <xdr:twoCellAnchor editAs="oneCell">
    <xdr:from>
      <xdr:col>18</xdr:col>
      <xdr:colOff>382663</xdr:colOff>
      <xdr:row>33</xdr:row>
      <xdr:rowOff>4102</xdr:rowOff>
    </xdr:from>
    <xdr:to>
      <xdr:col>19</xdr:col>
      <xdr:colOff>324245</xdr:colOff>
      <xdr:row>36</xdr:row>
      <xdr:rowOff>126024</xdr:rowOff>
    </xdr:to>
    <xdr:pic>
      <xdr:nvPicPr>
        <xdr:cNvPr id="8" name="Image" descr="Image">
          <a:extLst>
            <a:ext uri="{FF2B5EF4-FFF2-40B4-BE49-F238E27FC236}">
              <a16:creationId xmlns:a16="http://schemas.microsoft.com/office/drawing/2014/main" id="{8C6F8690-286B-4FAA-B127-BF69EB1B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2983" y="6039142"/>
          <a:ext cx="718822" cy="670562"/>
        </a:xfrm>
        <a:prstGeom prst="rect">
          <a:avLst/>
        </a:prstGeom>
        <a:ln w="12700">
          <a:miter lim="400000"/>
        </a:ln>
      </xdr:spPr>
    </xdr:pic>
    <xdr:clientData/>
  </xdr:twoCellAnchor>
  <xdr:oneCellAnchor>
    <xdr:from>
      <xdr:col>17</xdr:col>
      <xdr:colOff>238071</xdr:colOff>
      <xdr:row>33</xdr:row>
      <xdr:rowOff>81680</xdr:rowOff>
    </xdr:from>
    <xdr:ext cx="1171629" cy="20788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F9EA434-36A3-B3FD-E7AC-6DF5F7657BD6}"/>
            </a:ext>
          </a:extLst>
        </xdr:cNvPr>
        <xdr:cNvSpPr txBox="1"/>
      </xdr:nvSpPr>
      <xdr:spPr>
        <a:xfrm flipH="1" flipV="1">
          <a:off x="13451151" y="6116720"/>
          <a:ext cx="1171629" cy="2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9</xdr:row>
      <xdr:rowOff>91440</xdr:rowOff>
    </xdr:from>
    <xdr:to>
      <xdr:col>3</xdr:col>
      <xdr:colOff>189950</xdr:colOff>
      <xdr:row>10</xdr:row>
      <xdr:rowOff>26779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4FE7B979-2302-444A-8E81-8E47A9520B7F}"/>
            </a:ext>
          </a:extLst>
        </xdr:cNvPr>
        <xdr:cNvSpPr/>
      </xdr:nvSpPr>
      <xdr:spPr>
        <a:xfrm>
          <a:off x="1775460" y="2133600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396242</xdr:colOff>
      <xdr:row>18</xdr:row>
      <xdr:rowOff>175261</xdr:rowOff>
    </xdr:from>
    <xdr:to>
      <xdr:col>3</xdr:col>
      <xdr:colOff>189952</xdr:colOff>
      <xdr:row>19</xdr:row>
      <xdr:rowOff>110600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ED9885BC-FFC3-4C01-854E-DF2ABB2A9549}"/>
            </a:ext>
          </a:extLst>
        </xdr:cNvPr>
        <xdr:cNvSpPr/>
      </xdr:nvSpPr>
      <xdr:spPr>
        <a:xfrm>
          <a:off x="1775462" y="394716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388622</xdr:colOff>
      <xdr:row>30</xdr:row>
      <xdr:rowOff>76201</xdr:rowOff>
    </xdr:from>
    <xdr:to>
      <xdr:col>3</xdr:col>
      <xdr:colOff>182332</xdr:colOff>
      <xdr:row>31</xdr:row>
      <xdr:rowOff>11540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5F027618-FE31-42B9-A298-55AAE7778D5A}"/>
            </a:ext>
          </a:extLst>
        </xdr:cNvPr>
        <xdr:cNvSpPr/>
      </xdr:nvSpPr>
      <xdr:spPr>
        <a:xfrm>
          <a:off x="1767842" y="612648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9</xdr:row>
      <xdr:rowOff>22860</xdr:rowOff>
    </xdr:from>
    <xdr:to>
      <xdr:col>4</xdr:col>
      <xdr:colOff>392405</xdr:colOff>
      <xdr:row>14</xdr:row>
      <xdr:rowOff>157408</xdr:rowOff>
    </xdr:to>
    <xdr:sp macro="" textlink="">
      <xdr:nvSpPr>
        <xdr:cNvPr id="2" name="Rosca 61">
          <a:extLst>
            <a:ext uri="{FF2B5EF4-FFF2-40B4-BE49-F238E27FC236}">
              <a16:creationId xmlns:a16="http://schemas.microsoft.com/office/drawing/2014/main" id="{446561F7-7E1F-A980-3227-B83E2910EE9B}"/>
            </a:ext>
          </a:extLst>
        </xdr:cNvPr>
        <xdr:cNvSpPr/>
      </xdr:nvSpPr>
      <xdr:spPr>
        <a:xfrm>
          <a:off x="579120" y="1615440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411480</xdr:colOff>
      <xdr:row>9</xdr:row>
      <xdr:rowOff>15240</xdr:rowOff>
    </xdr:from>
    <xdr:to>
      <xdr:col>3</xdr:col>
      <xdr:colOff>543836</xdr:colOff>
      <xdr:row>11</xdr:row>
      <xdr:rowOff>9716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1D8D14-6B82-C9F4-256D-F35485F7D883}"/>
            </a:ext>
          </a:extLst>
        </xdr:cNvPr>
        <xdr:cNvSpPr/>
      </xdr:nvSpPr>
      <xdr:spPr>
        <a:xfrm rot="5400000">
          <a:off x="907140" y="1721760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319592</xdr:colOff>
      <xdr:row>11</xdr:row>
      <xdr:rowOff>68583</xdr:rowOff>
    </xdr:from>
    <xdr:to>
      <xdr:col>4</xdr:col>
      <xdr:colOff>505870</xdr:colOff>
      <xdr:row>15</xdr:row>
      <xdr:rowOff>62757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4D5518A-19D7-CA8A-ED84-6053C51F1FD9}"/>
            </a:ext>
          </a:extLst>
        </xdr:cNvPr>
        <xdr:cNvSpPr/>
      </xdr:nvSpPr>
      <xdr:spPr>
        <a:xfrm rot="5400000">
          <a:off x="2307197" y="2106131"/>
          <a:ext cx="800998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8</xdr:col>
      <xdr:colOff>10637</xdr:colOff>
      <xdr:row>6</xdr:row>
      <xdr:rowOff>258899</xdr:rowOff>
    </xdr:from>
    <xdr:to>
      <xdr:col>8</xdr:col>
      <xdr:colOff>10637</xdr:colOff>
      <xdr:row>37</xdr:row>
      <xdr:rowOff>40641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F79BC19-CD50-EC17-5B32-87BC0C50878F}"/>
            </a:ext>
          </a:extLst>
        </xdr:cNvPr>
        <xdr:cNvCxnSpPr>
          <a:cxnSpLocks/>
        </xdr:cNvCxnSpPr>
      </xdr:nvCxnSpPr>
      <xdr:spPr>
        <a:xfrm>
          <a:off x="4369277" y="952319"/>
          <a:ext cx="0" cy="52529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579122</xdr:colOff>
      <xdr:row>18</xdr:row>
      <xdr:rowOff>22861</xdr:rowOff>
    </xdr:from>
    <xdr:to>
      <xdr:col>4</xdr:col>
      <xdr:colOff>392407</xdr:colOff>
      <xdr:row>24</xdr:row>
      <xdr:rowOff>58349</xdr:rowOff>
    </xdr:to>
    <xdr:sp macro="" textlink="">
      <xdr:nvSpPr>
        <xdr:cNvPr id="14" name="Rosca 61">
          <a:extLst>
            <a:ext uri="{FF2B5EF4-FFF2-40B4-BE49-F238E27FC236}">
              <a16:creationId xmlns:a16="http://schemas.microsoft.com/office/drawing/2014/main" id="{AD43930C-F1F1-4EB9-A247-31D17281ED21}"/>
            </a:ext>
          </a:extLst>
        </xdr:cNvPr>
        <xdr:cNvSpPr/>
      </xdr:nvSpPr>
      <xdr:spPr>
        <a:xfrm>
          <a:off x="1889762" y="3345181"/>
          <a:ext cx="1032485" cy="113276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411482</xdr:colOff>
      <xdr:row>18</xdr:row>
      <xdr:rowOff>15241</xdr:rowOff>
    </xdr:from>
    <xdr:to>
      <xdr:col>3</xdr:col>
      <xdr:colOff>543838</xdr:colOff>
      <xdr:row>20</xdr:row>
      <xdr:rowOff>93537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F6F6946C-7AD9-41EA-9AC2-424AA782908C}"/>
            </a:ext>
          </a:extLst>
        </xdr:cNvPr>
        <xdr:cNvSpPr/>
      </xdr:nvSpPr>
      <xdr:spPr>
        <a:xfrm rot="5400000">
          <a:off x="2175872" y="3493411"/>
          <a:ext cx="44405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265806</xdr:colOff>
      <xdr:row>20</xdr:row>
      <xdr:rowOff>170332</xdr:rowOff>
    </xdr:from>
    <xdr:to>
      <xdr:col>4</xdr:col>
      <xdr:colOff>403411</xdr:colOff>
      <xdr:row>24</xdr:row>
      <xdr:rowOff>134472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C1923D6-43DB-4046-9883-C071A5EF7424}"/>
            </a:ext>
          </a:extLst>
        </xdr:cNvPr>
        <xdr:cNvSpPr/>
      </xdr:nvSpPr>
      <xdr:spPr>
        <a:xfrm rot="5400000">
          <a:off x="2244092" y="4072893"/>
          <a:ext cx="770964" cy="7472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2</xdr:col>
      <xdr:colOff>571502</xdr:colOff>
      <xdr:row>30</xdr:row>
      <xdr:rowOff>7621</xdr:rowOff>
    </xdr:from>
    <xdr:to>
      <xdr:col>4</xdr:col>
      <xdr:colOff>384787</xdr:colOff>
      <xdr:row>35</xdr:row>
      <xdr:rowOff>142169</xdr:rowOff>
    </xdr:to>
    <xdr:sp macro="" textlink="">
      <xdr:nvSpPr>
        <xdr:cNvPr id="20" name="Rosca 61">
          <a:extLst>
            <a:ext uri="{FF2B5EF4-FFF2-40B4-BE49-F238E27FC236}">
              <a16:creationId xmlns:a16="http://schemas.microsoft.com/office/drawing/2014/main" id="{43955038-7A7E-471F-9D86-A3E9E056CA7D}"/>
            </a:ext>
          </a:extLst>
        </xdr:cNvPr>
        <xdr:cNvSpPr/>
      </xdr:nvSpPr>
      <xdr:spPr>
        <a:xfrm>
          <a:off x="1691642" y="5059681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403862</xdr:colOff>
      <xdr:row>30</xdr:row>
      <xdr:rowOff>1</xdr:rowOff>
    </xdr:from>
    <xdr:to>
      <xdr:col>3</xdr:col>
      <xdr:colOff>536218</xdr:colOff>
      <xdr:row>31</xdr:row>
      <xdr:rowOff>177357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41BE768C-7AA0-4A7E-B4C9-B82CA4D88629}"/>
            </a:ext>
          </a:extLst>
        </xdr:cNvPr>
        <xdr:cNvSpPr/>
      </xdr:nvSpPr>
      <xdr:spPr>
        <a:xfrm rot="5400000">
          <a:off x="2019662" y="5166001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303008</xdr:colOff>
      <xdr:row>32</xdr:row>
      <xdr:rowOff>17484</xdr:rowOff>
    </xdr:from>
    <xdr:to>
      <xdr:col>4</xdr:col>
      <xdr:colOff>489286</xdr:colOff>
      <xdr:row>37</xdr:row>
      <xdr:rowOff>3281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69B41AF1-1009-4BDB-9514-793E4E9E8544}"/>
            </a:ext>
          </a:extLst>
        </xdr:cNvPr>
        <xdr:cNvSpPr/>
      </xdr:nvSpPr>
      <xdr:spPr>
        <a:xfrm rot="5400000">
          <a:off x="2249978" y="6040138"/>
          <a:ext cx="88226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9</xdr:col>
      <xdr:colOff>351865</xdr:colOff>
      <xdr:row>5</xdr:row>
      <xdr:rowOff>67459</xdr:rowOff>
    </xdr:from>
    <xdr:to>
      <xdr:col>9</xdr:col>
      <xdr:colOff>566178</xdr:colOff>
      <xdr:row>5</xdr:row>
      <xdr:rowOff>227797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559A8760-39B8-AD84-B32A-582F8D8B7E05}"/>
            </a:ext>
          </a:extLst>
        </xdr:cNvPr>
        <xdr:cNvSpPr/>
      </xdr:nvSpPr>
      <xdr:spPr bwMode="auto">
        <a:xfrm>
          <a:off x="5563945" y="890419"/>
          <a:ext cx="214313" cy="160338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11</xdr:col>
      <xdr:colOff>347569</xdr:colOff>
      <xdr:row>5</xdr:row>
      <xdr:rowOff>67459</xdr:rowOff>
    </xdr:from>
    <xdr:to>
      <xdr:col>11</xdr:col>
      <xdr:colOff>561882</xdr:colOff>
      <xdr:row>5</xdr:row>
      <xdr:rowOff>227797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A90681D4-1D08-F333-ACBD-271727E0EB6B}"/>
            </a:ext>
          </a:extLst>
        </xdr:cNvPr>
        <xdr:cNvSpPr/>
      </xdr:nvSpPr>
      <xdr:spPr bwMode="auto">
        <a:xfrm>
          <a:off x="6778849" y="890419"/>
          <a:ext cx="214313" cy="160338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13</xdr:col>
      <xdr:colOff>357561</xdr:colOff>
      <xdr:row>5</xdr:row>
      <xdr:rowOff>67459</xdr:rowOff>
    </xdr:from>
    <xdr:to>
      <xdr:col>13</xdr:col>
      <xdr:colOff>571874</xdr:colOff>
      <xdr:row>5</xdr:row>
      <xdr:rowOff>212557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FD52D14F-36FF-A341-5367-1331B2DAAC65}"/>
            </a:ext>
          </a:extLst>
        </xdr:cNvPr>
        <xdr:cNvSpPr/>
      </xdr:nvSpPr>
      <xdr:spPr bwMode="auto">
        <a:xfrm>
          <a:off x="8008041" y="509419"/>
          <a:ext cx="214313" cy="145098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9</xdr:col>
      <xdr:colOff>373380</xdr:colOff>
      <xdr:row>9</xdr:row>
      <xdr:rowOff>106680</xdr:rowOff>
    </xdr:from>
    <xdr:to>
      <xdr:col>12</xdr:col>
      <xdr:colOff>568643</xdr:colOff>
      <xdr:row>13</xdr:row>
      <xdr:rowOff>72073</xdr:rowOff>
    </xdr:to>
    <xdr:graphicFrame macro="">
      <xdr:nvGraphicFramePr>
        <xdr:cNvPr id="52" name="Chart 3">
          <a:extLst>
            <a:ext uri="{FF2B5EF4-FFF2-40B4-BE49-F238E27FC236}">
              <a16:creationId xmlns:a16="http://schemas.microsoft.com/office/drawing/2014/main" id="{03DBD125-C7C9-2242-03D4-7541365D8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548640</xdr:colOff>
      <xdr:row>8</xdr:row>
      <xdr:rowOff>243840</xdr:rowOff>
    </xdr:from>
    <xdr:to>
      <xdr:col>17</xdr:col>
      <xdr:colOff>24765</xdr:colOff>
      <xdr:row>13</xdr:row>
      <xdr:rowOff>60007</xdr:rowOff>
    </xdr:to>
    <xdr:graphicFrame macro="">
      <xdr:nvGraphicFramePr>
        <xdr:cNvPr id="57" name="Chart 3">
          <a:extLst>
            <a:ext uri="{FF2B5EF4-FFF2-40B4-BE49-F238E27FC236}">
              <a16:creationId xmlns:a16="http://schemas.microsoft.com/office/drawing/2014/main" id="{2B0E6A12-C411-0FDE-8E2A-45A762672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564777</xdr:colOff>
      <xdr:row>8</xdr:row>
      <xdr:rowOff>125506</xdr:rowOff>
    </xdr:from>
    <xdr:to>
      <xdr:col>21</xdr:col>
      <xdr:colOff>40902</xdr:colOff>
      <xdr:row>13</xdr:row>
      <xdr:rowOff>79189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ADE6458-9B84-C721-5E86-6D1A48E22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372291</xdr:colOff>
      <xdr:row>17</xdr:row>
      <xdr:rowOff>88116</xdr:rowOff>
    </xdr:from>
    <xdr:to>
      <xdr:col>12</xdr:col>
      <xdr:colOff>567554</xdr:colOff>
      <xdr:row>20</xdr:row>
      <xdr:rowOff>151481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055C0A7A-1F7C-404E-925F-BF644B877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547551</xdr:colOff>
      <xdr:row>16</xdr:row>
      <xdr:rowOff>138192</xdr:rowOff>
    </xdr:from>
    <xdr:to>
      <xdr:col>17</xdr:col>
      <xdr:colOff>23676</xdr:colOff>
      <xdr:row>20</xdr:row>
      <xdr:rowOff>139415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76DE6620-802E-4311-8205-C6C53C0B2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563688</xdr:colOff>
      <xdr:row>16</xdr:row>
      <xdr:rowOff>19858</xdr:rowOff>
    </xdr:from>
    <xdr:to>
      <xdr:col>21</xdr:col>
      <xdr:colOff>39813</xdr:colOff>
      <xdr:row>20</xdr:row>
      <xdr:rowOff>158597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1E4DF855-FE4C-455F-A21A-6FAACBD2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383175</xdr:colOff>
      <xdr:row>24</xdr:row>
      <xdr:rowOff>120764</xdr:rowOff>
    </xdr:from>
    <xdr:to>
      <xdr:col>12</xdr:col>
      <xdr:colOff>578438</xdr:colOff>
      <xdr:row>28</xdr:row>
      <xdr:rowOff>86156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44A35BB5-BF97-47B8-B247-F454C52D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558435</xdr:colOff>
      <xdr:row>21</xdr:row>
      <xdr:rowOff>149071</xdr:rowOff>
    </xdr:from>
    <xdr:to>
      <xdr:col>17</xdr:col>
      <xdr:colOff>34560</xdr:colOff>
      <xdr:row>29</xdr:row>
      <xdr:rowOff>52323</xdr:rowOff>
    </xdr:to>
    <xdr:graphicFrame macro="">
      <xdr:nvGraphicFramePr>
        <xdr:cNvPr id="35" name="Chart 3">
          <a:extLst>
            <a:ext uri="{FF2B5EF4-FFF2-40B4-BE49-F238E27FC236}">
              <a16:creationId xmlns:a16="http://schemas.microsoft.com/office/drawing/2014/main" id="{9B91B31D-FE4B-4A74-9A95-9ED52BA72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574572</xdr:colOff>
      <xdr:row>21</xdr:row>
      <xdr:rowOff>30737</xdr:rowOff>
    </xdr:from>
    <xdr:to>
      <xdr:col>21</xdr:col>
      <xdr:colOff>50697</xdr:colOff>
      <xdr:row>29</xdr:row>
      <xdr:rowOff>71505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E7331812-9FFD-45FB-BC8B-A4B47A137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383172</xdr:colOff>
      <xdr:row>33</xdr:row>
      <xdr:rowOff>120771</xdr:rowOff>
    </xdr:from>
    <xdr:to>
      <xdr:col>12</xdr:col>
      <xdr:colOff>578435</xdr:colOff>
      <xdr:row>37</xdr:row>
      <xdr:rowOff>86165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8F8E83BD-3693-4FCB-99BE-6E9D58AC3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558432</xdr:colOff>
      <xdr:row>32</xdr:row>
      <xdr:rowOff>170846</xdr:rowOff>
    </xdr:from>
    <xdr:to>
      <xdr:col>17</xdr:col>
      <xdr:colOff>34557</xdr:colOff>
      <xdr:row>37</xdr:row>
      <xdr:rowOff>74099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655456F3-7A76-4544-84A2-1305E49A0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574569</xdr:colOff>
      <xdr:row>32</xdr:row>
      <xdr:rowOff>52512</xdr:rowOff>
    </xdr:from>
    <xdr:to>
      <xdr:col>21</xdr:col>
      <xdr:colOff>50694</xdr:colOff>
      <xdr:row>37</xdr:row>
      <xdr:rowOff>93281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709761E8-DB84-4071-B5BF-7F83B17E4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21</xdr:col>
      <xdr:colOff>556260</xdr:colOff>
      <xdr:row>0</xdr:row>
      <xdr:rowOff>83820</xdr:rowOff>
    </xdr:from>
    <xdr:to>
      <xdr:col>25</xdr:col>
      <xdr:colOff>543801</xdr:colOff>
      <xdr:row>3</xdr:row>
      <xdr:rowOff>39793</xdr:rowOff>
    </xdr:to>
    <xdr:pic>
      <xdr:nvPicPr>
        <xdr:cNvPr id="4" name="Gráfico 13">
          <a:extLst>
            <a:ext uri="{FF2B5EF4-FFF2-40B4-BE49-F238E27FC236}">
              <a16:creationId xmlns:a16="http://schemas.microsoft.com/office/drawing/2014/main" id="{8B2D2B75-4CD2-4CA6-9669-F32A4C25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862560" y="83820"/>
          <a:ext cx="2425941" cy="550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482600</xdr:colOff>
      <xdr:row>0</xdr:row>
      <xdr:rowOff>0</xdr:rowOff>
    </xdr:from>
    <xdr:to>
      <xdr:col>18</xdr:col>
      <xdr:colOff>177800</xdr:colOff>
      <xdr:row>0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2689A4-4EE8-46F4-BE61-DDF6ABF573BB}"/>
            </a:ext>
          </a:extLst>
        </xdr:cNvPr>
        <xdr:cNvSpPr txBox="1"/>
      </xdr:nvSpPr>
      <xdr:spPr>
        <a:xfrm>
          <a:off x="15532100" y="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20</xdr:col>
      <xdr:colOff>331047</xdr:colOff>
      <xdr:row>1</xdr:row>
      <xdr:rowOff>0</xdr:rowOff>
    </xdr:from>
    <xdr:to>
      <xdr:col>21</xdr:col>
      <xdr:colOff>26247</xdr:colOff>
      <xdr:row>5</xdr:row>
      <xdr:rowOff>289560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92548F2-526B-4444-807E-7AB7EF38D2D4}"/>
            </a:ext>
          </a:extLst>
        </xdr:cNvPr>
        <xdr:cNvSpPr txBox="1"/>
      </xdr:nvSpPr>
      <xdr:spPr>
        <a:xfrm>
          <a:off x="11959167" y="198120"/>
          <a:ext cx="30480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3200" b="0"/>
            <a:t>_</a:t>
          </a:r>
        </a:p>
      </xdr:txBody>
    </xdr:sp>
    <xdr:clientData/>
  </xdr:twoCellAnchor>
  <xdr:twoCellAnchor>
    <xdr:from>
      <xdr:col>22</xdr:col>
      <xdr:colOff>193040</xdr:colOff>
      <xdr:row>1</xdr:row>
      <xdr:rowOff>0</xdr:rowOff>
    </xdr:from>
    <xdr:to>
      <xdr:col>23</xdr:col>
      <xdr:colOff>60960</xdr:colOff>
      <xdr:row>5</xdr:row>
      <xdr:rowOff>281940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BB1E83E-50C9-440D-AB3A-959CE8E2E3EF}"/>
            </a:ext>
          </a:extLst>
        </xdr:cNvPr>
        <xdr:cNvSpPr txBox="1"/>
      </xdr:nvSpPr>
      <xdr:spPr>
        <a:xfrm>
          <a:off x="13040360" y="198120"/>
          <a:ext cx="47752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oneCellAnchor>
    <xdr:from>
      <xdr:col>1</xdr:col>
      <xdr:colOff>281408</xdr:colOff>
      <xdr:row>18</xdr:row>
      <xdr:rowOff>18873</xdr:rowOff>
    </xdr:from>
    <xdr:ext cx="6732000" cy="1548000"/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788D72-73CF-43A9-8F6B-ACCF8DD5A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281408</xdr:colOff>
      <xdr:row>8</xdr:row>
      <xdr:rowOff>52849</xdr:rowOff>
    </xdr:from>
    <xdr:ext cx="6732000" cy="1549083"/>
    <xdr:graphicFrame macro="">
      <xdr:nvGraphicFramePr>
        <xdr:cNvPr id="28" name="Gráfico 10">
          <a:extLst>
            <a:ext uri="{FF2B5EF4-FFF2-40B4-BE49-F238E27FC236}">
              <a16:creationId xmlns:a16="http://schemas.microsoft.com/office/drawing/2014/main" id="{785EE266-9ACB-4837-A09D-E938370A5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281408</xdr:colOff>
      <xdr:row>27</xdr:row>
      <xdr:rowOff>179741</xdr:rowOff>
    </xdr:from>
    <xdr:ext cx="6732000" cy="1548000"/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4D6416F-4634-44D0-AA94-A0DA7C066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281408</xdr:colOff>
      <xdr:row>36</xdr:row>
      <xdr:rowOff>139631</xdr:rowOff>
    </xdr:from>
    <xdr:ext cx="6732000" cy="1548000"/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B7D4846-F13A-4682-9FAF-32396C437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234526</xdr:colOff>
      <xdr:row>8</xdr:row>
      <xdr:rowOff>61010</xdr:rowOff>
    </xdr:from>
    <xdr:ext cx="6732000" cy="1548000"/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1A3E3FF-308A-4381-831E-4BBE07EA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234526</xdr:colOff>
      <xdr:row>18</xdr:row>
      <xdr:rowOff>26493</xdr:rowOff>
    </xdr:from>
    <xdr:ext cx="6732000" cy="1548000"/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F402ED4-DFBF-465F-94C5-DD96A393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14</xdr:col>
      <xdr:colOff>234526</xdr:colOff>
      <xdr:row>28</xdr:row>
      <xdr:rowOff>4481</xdr:rowOff>
    </xdr:from>
    <xdr:ext cx="6732000" cy="1548000"/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2F9721D-95BD-4203-A9CD-4A7569BE5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234526</xdr:colOff>
      <xdr:row>36</xdr:row>
      <xdr:rowOff>139631</xdr:rowOff>
    </xdr:from>
    <xdr:ext cx="6732000" cy="1548000"/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A1C3FB-3821-4A88-8F2A-11987D20C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22</xdr:col>
      <xdr:colOff>401743</xdr:colOff>
      <xdr:row>5</xdr:row>
      <xdr:rowOff>127742</xdr:rowOff>
    </xdr:from>
    <xdr:to>
      <xdr:col>22</xdr:col>
      <xdr:colOff>465243</xdr:colOff>
      <xdr:row>5</xdr:row>
      <xdr:rowOff>176002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F182BFF-812A-4FA4-9BEB-E3E37FF75FD6}"/>
            </a:ext>
          </a:extLst>
        </xdr:cNvPr>
        <xdr:cNvSpPr/>
      </xdr:nvSpPr>
      <xdr:spPr bwMode="auto">
        <a:xfrm>
          <a:off x="13249063" y="950702"/>
          <a:ext cx="63500" cy="4826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22</xdr:col>
      <xdr:colOff>5926</xdr:colOff>
      <xdr:row>0</xdr:row>
      <xdr:rowOff>52494</xdr:rowOff>
    </xdr:from>
    <xdr:to>
      <xdr:col>25</xdr:col>
      <xdr:colOff>603067</xdr:colOff>
      <xdr:row>3</xdr:row>
      <xdr:rowOff>31327</xdr:rowOff>
    </xdr:to>
    <xdr:pic>
      <xdr:nvPicPr>
        <xdr:cNvPr id="30" name="Gráfico 13">
          <a:extLst>
            <a:ext uri="{FF2B5EF4-FFF2-40B4-BE49-F238E27FC236}">
              <a16:creationId xmlns:a16="http://schemas.microsoft.com/office/drawing/2014/main" id="{F890F00E-01E7-4B8F-B995-EF9C1FE9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853246" y="52494"/>
          <a:ext cx="2425941" cy="550333"/>
        </a:xfrm>
        <a:prstGeom prst="rect">
          <a:avLst/>
        </a:prstGeom>
      </xdr:spPr>
    </xdr:pic>
    <xdr:clientData/>
  </xdr:twoCellAnchor>
  <xdr:twoCellAnchor>
    <xdr:from>
      <xdr:col>20</xdr:col>
      <xdr:colOff>452120</xdr:colOff>
      <xdr:row>5</xdr:row>
      <xdr:rowOff>135361</xdr:rowOff>
    </xdr:from>
    <xdr:to>
      <xdr:col>20</xdr:col>
      <xdr:colOff>497839</xdr:colOff>
      <xdr:row>5</xdr:row>
      <xdr:rowOff>190500</xdr:rowOff>
    </xdr:to>
    <xdr:sp macro="" textlink="">
      <xdr:nvSpPr>
        <xdr:cNvPr id="7" name="Elipse 25">
          <a:extLst>
            <a:ext uri="{FF2B5EF4-FFF2-40B4-BE49-F238E27FC236}">
              <a16:creationId xmlns:a16="http://schemas.microsoft.com/office/drawing/2014/main" id="{800CCA9D-795F-4BF3-BA8F-0612C6DD001E}"/>
            </a:ext>
          </a:extLst>
        </xdr:cNvPr>
        <xdr:cNvSpPr/>
      </xdr:nvSpPr>
      <xdr:spPr bwMode="auto">
        <a:xfrm>
          <a:off x="12080240" y="958321"/>
          <a:ext cx="45719" cy="55139"/>
        </a:xfrm>
        <a:prstGeom prst="ellipse">
          <a:avLst/>
        </a:prstGeom>
        <a:solidFill>
          <a:srgbClr val="2D2D2D"/>
        </a:solidFill>
        <a:ln w="9525" cap="flat" cmpd="sng" algn="ctr">
          <a:solidFill>
            <a:srgbClr val="2D2D2D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0</xdr:col>
      <xdr:colOff>346710</xdr:colOff>
      <xdr:row>34</xdr:row>
      <xdr:rowOff>137160</xdr:rowOff>
    </xdr:from>
    <xdr:to>
      <xdr:col>1</xdr:col>
      <xdr:colOff>64770</xdr:colOff>
      <xdr:row>41</xdr:row>
      <xdr:rowOff>99060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D763480D-FDA4-415D-A66C-C6F54368EA2D}"/>
            </a:ext>
          </a:extLst>
        </xdr:cNvPr>
        <xdr:cNvCxnSpPr>
          <a:cxnSpLocks/>
          <a:stCxn id="34" idx="2"/>
        </xdr:cNvCxnSpPr>
      </xdr:nvCxnSpPr>
      <xdr:spPr>
        <a:xfrm>
          <a:off x="346710" y="6339840"/>
          <a:ext cx="106680" cy="1242060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11</xdr:row>
      <xdr:rowOff>53340</xdr:rowOff>
    </xdr:from>
    <xdr:to>
      <xdr:col>2</xdr:col>
      <xdr:colOff>15240</xdr:colOff>
      <xdr:row>14</xdr:row>
      <xdr:rowOff>60960</xdr:rowOff>
    </xdr:to>
    <xdr:sp macro="" textlink="">
      <xdr:nvSpPr>
        <xdr:cNvPr id="32" name="Título 1">
          <a:extLst>
            <a:ext uri="{FF2B5EF4-FFF2-40B4-BE49-F238E27FC236}">
              <a16:creationId xmlns:a16="http://schemas.microsoft.com/office/drawing/2014/main" id="{1C6425F1-FDBF-432F-B46E-16F12474C625}"/>
            </a:ext>
          </a:extLst>
        </xdr:cNvPr>
        <xdr:cNvSpPr txBox="1">
          <a:spLocks/>
        </xdr:cNvSpPr>
      </xdr:nvSpPr>
      <xdr:spPr>
        <a:xfrm>
          <a:off x="0" y="2049780"/>
          <a:ext cx="69342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VCBR</a:t>
          </a:r>
          <a:endParaRPr lang="pt-BR" sz="1600">
            <a:effectLst/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121920</xdr:rowOff>
    </xdr:from>
    <xdr:to>
      <xdr:col>2</xdr:col>
      <xdr:colOff>15240</xdr:colOff>
      <xdr:row>23</xdr:row>
      <xdr:rowOff>129540</xdr:rowOff>
    </xdr:to>
    <xdr:sp macro="" textlink="">
      <xdr:nvSpPr>
        <xdr:cNvPr id="33" name="Título 1">
          <a:extLst>
            <a:ext uri="{FF2B5EF4-FFF2-40B4-BE49-F238E27FC236}">
              <a16:creationId xmlns:a16="http://schemas.microsoft.com/office/drawing/2014/main" id="{F051E91B-827D-45A2-A6AB-2AB987933E37}"/>
            </a:ext>
          </a:extLst>
        </xdr:cNvPr>
        <xdr:cNvSpPr txBox="1">
          <a:spLocks/>
        </xdr:cNvSpPr>
      </xdr:nvSpPr>
      <xdr:spPr>
        <a:xfrm>
          <a:off x="0" y="3764280"/>
          <a:ext cx="69342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VCNA</a:t>
          </a:r>
          <a:endParaRPr lang="pt-BR" sz="1600">
            <a:effectLst/>
          </a:endParaRPr>
        </a:p>
      </xdr:txBody>
    </xdr:sp>
    <xdr:clientData/>
  </xdr:twoCellAnchor>
  <xdr:twoCellAnchor editAs="oneCell">
    <xdr:from>
      <xdr:col>0</xdr:col>
      <xdr:colOff>0</xdr:colOff>
      <xdr:row>31</xdr:row>
      <xdr:rowOff>129540</xdr:rowOff>
    </xdr:from>
    <xdr:to>
      <xdr:col>2</xdr:col>
      <xdr:colOff>15240</xdr:colOff>
      <xdr:row>34</xdr:row>
      <xdr:rowOff>137160</xdr:rowOff>
    </xdr:to>
    <xdr:sp macro="" textlink="">
      <xdr:nvSpPr>
        <xdr:cNvPr id="34" name="Título 1">
          <a:extLst>
            <a:ext uri="{FF2B5EF4-FFF2-40B4-BE49-F238E27FC236}">
              <a16:creationId xmlns:a16="http://schemas.microsoft.com/office/drawing/2014/main" id="{9FEB419D-C49D-4A58-B78C-840702B26221}"/>
            </a:ext>
          </a:extLst>
        </xdr:cNvPr>
        <xdr:cNvSpPr txBox="1">
          <a:spLocks/>
        </xdr:cNvSpPr>
      </xdr:nvSpPr>
      <xdr:spPr>
        <a:xfrm>
          <a:off x="0" y="5783580"/>
          <a:ext cx="69342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VCEA</a:t>
          </a:r>
          <a:endParaRPr lang="pt-BR" sz="1600">
            <a:effectLst/>
          </a:endParaRPr>
        </a:p>
      </xdr:txBody>
    </xdr:sp>
    <xdr:clientData/>
  </xdr:twoCellAnchor>
  <xdr:twoCellAnchor editAs="oneCell">
    <xdr:from>
      <xdr:col>12</xdr:col>
      <xdr:colOff>499110</xdr:colOff>
      <xdr:row>40</xdr:row>
      <xdr:rowOff>99060</xdr:rowOff>
    </xdr:from>
    <xdr:to>
      <xdr:col>14</xdr:col>
      <xdr:colOff>179070</xdr:colOff>
      <xdr:row>43</xdr:row>
      <xdr:rowOff>106680</xdr:rowOff>
    </xdr:to>
    <xdr:sp macro="" textlink="">
      <xdr:nvSpPr>
        <xdr:cNvPr id="35" name="Título 1">
          <a:extLst>
            <a:ext uri="{FF2B5EF4-FFF2-40B4-BE49-F238E27FC236}">
              <a16:creationId xmlns:a16="http://schemas.microsoft.com/office/drawing/2014/main" id="{3BD5701F-85ED-42E1-9906-0095D6E4429B}"/>
            </a:ext>
          </a:extLst>
        </xdr:cNvPr>
        <xdr:cNvSpPr txBox="1">
          <a:spLocks/>
        </xdr:cNvSpPr>
      </xdr:nvSpPr>
      <xdr:spPr>
        <a:xfrm>
          <a:off x="7250430" y="7406640"/>
          <a:ext cx="89916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VCLatam</a:t>
          </a:r>
          <a:endParaRPr lang="pt-BR" sz="1400">
            <a:effectLst/>
          </a:endParaRPr>
        </a:p>
      </xdr:txBody>
    </xdr:sp>
    <xdr:clientData/>
  </xdr:twoCellAnchor>
  <xdr:twoCellAnchor>
    <xdr:from>
      <xdr:col>13</xdr:col>
      <xdr:colOff>327660</xdr:colOff>
      <xdr:row>43</xdr:row>
      <xdr:rowOff>167640</xdr:rowOff>
    </xdr:from>
    <xdr:to>
      <xdr:col>13</xdr:col>
      <xdr:colOff>331470</xdr:colOff>
      <xdr:row>50</xdr:row>
      <xdr:rowOff>129540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6908EA6B-6DE1-42C0-9C99-66909BB6A197}"/>
            </a:ext>
          </a:extLst>
        </xdr:cNvPr>
        <xdr:cNvCxnSpPr>
          <a:cxnSpLocks/>
        </xdr:cNvCxnSpPr>
      </xdr:nvCxnSpPr>
      <xdr:spPr>
        <a:xfrm>
          <a:off x="7688580" y="8023860"/>
          <a:ext cx="3810" cy="1242060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281408</xdr:colOff>
      <xdr:row>12</xdr:row>
      <xdr:rowOff>95870</xdr:rowOff>
    </xdr:from>
    <xdr:to>
      <xdr:col>2</xdr:col>
      <xdr:colOff>118110</xdr:colOff>
      <xdr:row>14</xdr:row>
      <xdr:rowOff>7620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BB44B95E-F632-4F15-81AC-5A42BAAFD5B7}"/>
            </a:ext>
          </a:extLst>
        </xdr:cNvPr>
        <xdr:cNvCxnSpPr>
          <a:cxnSpLocks/>
          <a:endCxn id="28" idx="1"/>
        </xdr:cNvCxnSpPr>
      </xdr:nvCxnSpPr>
      <xdr:spPr>
        <a:xfrm flipH="1" flipV="1">
          <a:off x="670028" y="2275190"/>
          <a:ext cx="126262" cy="277510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64770</xdr:rowOff>
    </xdr:from>
    <xdr:to>
      <xdr:col>22</xdr:col>
      <xdr:colOff>38100</xdr:colOff>
      <xdr:row>24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13FA2-0768-4D5D-A21F-693041C1C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15240</xdr:colOff>
      <xdr:row>0</xdr:row>
      <xdr:rowOff>53340</xdr:rowOff>
    </xdr:from>
    <xdr:ext cx="2425941" cy="550333"/>
    <xdr:pic>
      <xdr:nvPicPr>
        <xdr:cNvPr id="5" name="Gráfico 13">
          <a:extLst>
            <a:ext uri="{FF2B5EF4-FFF2-40B4-BE49-F238E27FC236}">
              <a16:creationId xmlns:a16="http://schemas.microsoft.com/office/drawing/2014/main" id="{B0CB3380-EB5F-4AD4-AE51-6B23A587C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07340" y="533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33</xdr:col>
      <xdr:colOff>335280</xdr:colOff>
      <xdr:row>5</xdr:row>
      <xdr:rowOff>70326</xdr:rowOff>
    </xdr:from>
    <xdr:to>
      <xdr:col>33</xdr:col>
      <xdr:colOff>514668</xdr:colOff>
      <xdr:row>5</xdr:row>
      <xdr:rowOff>203676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D5210E3-CE72-41F8-B53A-FF9C88E1BAF9}"/>
            </a:ext>
          </a:extLst>
        </xdr:cNvPr>
        <xdr:cNvSpPr/>
      </xdr:nvSpPr>
      <xdr:spPr bwMode="auto">
        <a:xfrm>
          <a:off x="12108180" y="90090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388937</xdr:colOff>
      <xdr:row>5</xdr:row>
      <xdr:rowOff>70326</xdr:rowOff>
    </xdr:from>
    <xdr:to>
      <xdr:col>35</xdr:col>
      <xdr:colOff>568325</xdr:colOff>
      <xdr:row>5</xdr:row>
      <xdr:rowOff>203676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DE1851D-8120-488F-BCEC-CFA09869420A}"/>
            </a:ext>
          </a:extLst>
        </xdr:cNvPr>
        <xdr:cNvSpPr/>
      </xdr:nvSpPr>
      <xdr:spPr bwMode="auto">
        <a:xfrm>
          <a:off x="13381037" y="90090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37</xdr:col>
      <xdr:colOff>323215</xdr:colOff>
      <xdr:row>5</xdr:row>
      <xdr:rowOff>70326</xdr:rowOff>
    </xdr:from>
    <xdr:to>
      <xdr:col>37</xdr:col>
      <xdr:colOff>502603</xdr:colOff>
      <xdr:row>5</xdr:row>
      <xdr:rowOff>203676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787D7EB-1F83-4D91-8DBE-5F172FD79A70}"/>
            </a:ext>
          </a:extLst>
        </xdr:cNvPr>
        <xdr:cNvSpPr/>
      </xdr:nvSpPr>
      <xdr:spPr bwMode="auto">
        <a:xfrm>
          <a:off x="14534515" y="90090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27</xdr:col>
      <xdr:colOff>327660</xdr:colOff>
      <xdr:row>8</xdr:row>
      <xdr:rowOff>167640</xdr:rowOff>
    </xdr:from>
    <xdr:to>
      <xdr:col>36</xdr:col>
      <xdr:colOff>495300</xdr:colOff>
      <xdr:row>26</xdr:row>
      <xdr:rowOff>129540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829189A-F108-4867-8AD0-D0E54097A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289560</xdr:colOff>
      <xdr:row>7</xdr:row>
      <xdr:rowOff>53340</xdr:rowOff>
    </xdr:from>
    <xdr:to>
      <xdr:col>23</xdr:col>
      <xdr:colOff>289560</xdr:colOff>
      <xdr:row>41</xdr:row>
      <xdr:rowOff>109402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D2EA86D-893F-4DD4-A816-640540339F56}"/>
            </a:ext>
          </a:extLst>
        </xdr:cNvPr>
        <xdr:cNvCxnSpPr>
          <a:cxnSpLocks/>
        </xdr:cNvCxnSpPr>
      </xdr:nvCxnSpPr>
      <xdr:spPr>
        <a:xfrm>
          <a:off x="7513320" y="137922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8</xdr:row>
      <xdr:rowOff>121920</xdr:rowOff>
    </xdr:from>
    <xdr:to>
      <xdr:col>22</xdr:col>
      <xdr:colOff>289560</xdr:colOff>
      <xdr:row>24</xdr:row>
      <xdr:rowOff>160020</xdr:rowOff>
    </xdr:to>
    <xdr:graphicFrame macro="">
      <xdr:nvGraphicFramePr>
        <xdr:cNvPr id="19" name="Gráfico 1">
          <a:extLst>
            <a:ext uri="{FF2B5EF4-FFF2-40B4-BE49-F238E27FC236}">
              <a16:creationId xmlns:a16="http://schemas.microsoft.com/office/drawing/2014/main" id="{EACB28AC-23A2-45FE-A991-7B63BFE91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0</xdr:colOff>
      <xdr:row>0</xdr:row>
      <xdr:rowOff>22860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7EB0223F-45E5-4400-8E37-A3B100B1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2100" y="2286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33</xdr:col>
      <xdr:colOff>388620</xdr:colOff>
      <xdr:row>5</xdr:row>
      <xdr:rowOff>81756</xdr:rowOff>
    </xdr:from>
    <xdr:to>
      <xdr:col>33</xdr:col>
      <xdr:colOff>568008</xdr:colOff>
      <xdr:row>5</xdr:row>
      <xdr:rowOff>215106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E0C1D4B-9B1B-47BD-B8BC-850A681FDB6F}"/>
            </a:ext>
          </a:extLst>
        </xdr:cNvPr>
        <xdr:cNvSpPr/>
      </xdr:nvSpPr>
      <xdr:spPr bwMode="auto">
        <a:xfrm>
          <a:off x="12161520" y="89709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381317</xdr:colOff>
      <xdr:row>5</xdr:row>
      <xdr:rowOff>66516</xdr:rowOff>
    </xdr:from>
    <xdr:to>
      <xdr:col>35</xdr:col>
      <xdr:colOff>560705</xdr:colOff>
      <xdr:row>5</xdr:row>
      <xdr:rowOff>199866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C9B46A-D182-4940-96E3-45F2EC6B13A9}"/>
            </a:ext>
          </a:extLst>
        </xdr:cNvPr>
        <xdr:cNvSpPr/>
      </xdr:nvSpPr>
      <xdr:spPr bwMode="auto">
        <a:xfrm>
          <a:off x="13373417" y="88185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37</xdr:col>
      <xdr:colOff>353695</xdr:colOff>
      <xdr:row>5</xdr:row>
      <xdr:rowOff>74136</xdr:rowOff>
    </xdr:from>
    <xdr:to>
      <xdr:col>37</xdr:col>
      <xdr:colOff>533083</xdr:colOff>
      <xdr:row>5</xdr:row>
      <xdr:rowOff>207486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60F71477-6281-4787-82B0-6B705C046C3B}"/>
            </a:ext>
          </a:extLst>
        </xdr:cNvPr>
        <xdr:cNvSpPr/>
      </xdr:nvSpPr>
      <xdr:spPr bwMode="auto">
        <a:xfrm>
          <a:off x="14564995" y="88947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28</xdr:col>
      <xdr:colOff>38100</xdr:colOff>
      <xdr:row>8</xdr:row>
      <xdr:rowOff>22860</xdr:rowOff>
    </xdr:from>
    <xdr:to>
      <xdr:col>37</xdr:col>
      <xdr:colOff>205740</xdr:colOff>
      <xdr:row>25</xdr:row>
      <xdr:rowOff>68580</xdr:rowOff>
    </xdr:to>
    <xdr:graphicFrame macro="">
      <xdr:nvGraphicFramePr>
        <xdr:cNvPr id="21" name="Gráfico 9">
          <a:extLst>
            <a:ext uri="{FF2B5EF4-FFF2-40B4-BE49-F238E27FC236}">
              <a16:creationId xmlns:a16="http://schemas.microsoft.com/office/drawing/2014/main" id="{7EFA85BC-A983-4F8B-8945-84D38EBC0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68580</xdr:colOff>
      <xdr:row>7</xdr:row>
      <xdr:rowOff>91440</xdr:rowOff>
    </xdr:from>
    <xdr:to>
      <xdr:col>25</xdr:col>
      <xdr:colOff>68580</xdr:colOff>
      <xdr:row>41</xdr:row>
      <xdr:rowOff>147502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43A4700C-2822-4449-AAFE-909D0234B36B}"/>
            </a:ext>
          </a:extLst>
        </xdr:cNvPr>
        <xdr:cNvCxnSpPr>
          <a:cxnSpLocks/>
        </xdr:cNvCxnSpPr>
      </xdr:nvCxnSpPr>
      <xdr:spPr>
        <a:xfrm>
          <a:off x="7528560" y="144780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9</xdr:row>
      <xdr:rowOff>38100</xdr:rowOff>
    </xdr:from>
    <xdr:to>
      <xdr:col>22</xdr:col>
      <xdr:colOff>220980</xdr:colOff>
      <xdr:row>25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04BE0D-6A42-4C7E-8412-CCE87F7E1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0</xdr:colOff>
      <xdr:row>0</xdr:row>
      <xdr:rowOff>22860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96B519CD-F871-4F46-A5EC-92275957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2100" y="22860"/>
          <a:ext cx="2425941" cy="550333"/>
        </a:xfrm>
        <a:prstGeom prst="rect">
          <a:avLst/>
        </a:prstGeom>
      </xdr:spPr>
    </xdr:pic>
    <xdr:clientData/>
  </xdr:oneCellAnchor>
  <xdr:twoCellAnchor editAs="absolute">
    <xdr:from>
      <xdr:col>33</xdr:col>
      <xdr:colOff>396240</xdr:colOff>
      <xdr:row>5</xdr:row>
      <xdr:rowOff>66516</xdr:rowOff>
    </xdr:from>
    <xdr:to>
      <xdr:col>33</xdr:col>
      <xdr:colOff>575628</xdr:colOff>
      <xdr:row>5</xdr:row>
      <xdr:rowOff>199866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DCA4A03-6B1E-402B-AA4B-B137AED3F5F0}"/>
            </a:ext>
          </a:extLst>
        </xdr:cNvPr>
        <xdr:cNvSpPr/>
      </xdr:nvSpPr>
      <xdr:spPr bwMode="auto">
        <a:xfrm>
          <a:off x="12169140" y="87423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37</xdr:col>
      <xdr:colOff>373697</xdr:colOff>
      <xdr:row>5</xdr:row>
      <xdr:rowOff>74136</xdr:rowOff>
    </xdr:from>
    <xdr:to>
      <xdr:col>37</xdr:col>
      <xdr:colOff>553085</xdr:colOff>
      <xdr:row>5</xdr:row>
      <xdr:rowOff>207486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F155FBC-E281-42DF-B0AE-9E05A3D169C7}"/>
            </a:ext>
          </a:extLst>
        </xdr:cNvPr>
        <xdr:cNvSpPr/>
      </xdr:nvSpPr>
      <xdr:spPr bwMode="auto">
        <a:xfrm>
          <a:off x="14584997" y="88185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35</xdr:col>
      <xdr:colOff>384175</xdr:colOff>
      <xdr:row>5</xdr:row>
      <xdr:rowOff>74136</xdr:rowOff>
    </xdr:from>
    <xdr:to>
      <xdr:col>35</xdr:col>
      <xdr:colOff>563563</xdr:colOff>
      <xdr:row>5</xdr:row>
      <xdr:rowOff>207486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71B0748-C78F-4122-8BC5-60E528761433}"/>
            </a:ext>
          </a:extLst>
        </xdr:cNvPr>
        <xdr:cNvSpPr/>
      </xdr:nvSpPr>
      <xdr:spPr bwMode="auto">
        <a:xfrm>
          <a:off x="13376275" y="88185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28</xdr:col>
      <xdr:colOff>38100</xdr:colOff>
      <xdr:row>8</xdr:row>
      <xdr:rowOff>22860</xdr:rowOff>
    </xdr:from>
    <xdr:to>
      <xdr:col>38</xdr:col>
      <xdr:colOff>205740</xdr:colOff>
      <xdr:row>25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A56CF4A-48A1-4FD7-8D64-EFC7AF21A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7620</xdr:colOff>
      <xdr:row>7</xdr:row>
      <xdr:rowOff>114300</xdr:rowOff>
    </xdr:from>
    <xdr:to>
      <xdr:col>25</xdr:col>
      <xdr:colOff>7620</xdr:colOff>
      <xdr:row>41</xdr:row>
      <xdr:rowOff>139882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56EA5278-C6D6-49B2-B99B-108010FCB641}"/>
            </a:ext>
          </a:extLst>
        </xdr:cNvPr>
        <xdr:cNvCxnSpPr>
          <a:cxnSpLocks/>
        </xdr:cNvCxnSpPr>
      </xdr:nvCxnSpPr>
      <xdr:spPr>
        <a:xfrm>
          <a:off x="7467600" y="159258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</xdr:colOff>
      <xdr:row>8</xdr:row>
      <xdr:rowOff>179070</xdr:rowOff>
    </xdr:from>
    <xdr:to>
      <xdr:col>22</xdr:col>
      <xdr:colOff>167640</xdr:colOff>
      <xdr:row>15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12663D-0399-4DF9-89CD-E2B3EFBC8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7620</xdr:colOff>
      <xdr:row>0</xdr:row>
      <xdr:rowOff>22860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64852563-6E36-453A-8477-4942BCD4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9720" y="2286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26</xdr:col>
      <xdr:colOff>259080</xdr:colOff>
      <xdr:row>7</xdr:row>
      <xdr:rowOff>182880</xdr:rowOff>
    </xdr:from>
    <xdr:to>
      <xdr:col>34</xdr:col>
      <xdr:colOff>487680</xdr:colOff>
      <xdr:row>15</xdr:row>
      <xdr:rowOff>121920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5AB5AB2-1D93-45E4-BFD9-1CD39656F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358140</xdr:colOff>
      <xdr:row>5</xdr:row>
      <xdr:rowOff>54927</xdr:rowOff>
    </xdr:from>
    <xdr:to>
      <xdr:col>33</xdr:col>
      <xdr:colOff>537528</xdr:colOff>
      <xdr:row>5</xdr:row>
      <xdr:rowOff>188277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68336ED-428C-4428-94F9-5539949AF409}"/>
            </a:ext>
          </a:extLst>
        </xdr:cNvPr>
        <xdr:cNvSpPr/>
      </xdr:nvSpPr>
      <xdr:spPr bwMode="auto">
        <a:xfrm>
          <a:off x="12131040" y="862647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37</xdr:col>
      <xdr:colOff>404177</xdr:colOff>
      <xdr:row>5</xdr:row>
      <xdr:rowOff>54927</xdr:rowOff>
    </xdr:from>
    <xdr:to>
      <xdr:col>37</xdr:col>
      <xdr:colOff>583565</xdr:colOff>
      <xdr:row>5</xdr:row>
      <xdr:rowOff>188277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9C37E7B0-F1DC-4CFD-A27F-48A26651DE7A}"/>
            </a:ext>
          </a:extLst>
        </xdr:cNvPr>
        <xdr:cNvSpPr/>
      </xdr:nvSpPr>
      <xdr:spPr bwMode="auto">
        <a:xfrm>
          <a:off x="14615477" y="862647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391795</xdr:colOff>
      <xdr:row>5</xdr:row>
      <xdr:rowOff>70167</xdr:rowOff>
    </xdr:from>
    <xdr:to>
      <xdr:col>35</xdr:col>
      <xdr:colOff>571183</xdr:colOff>
      <xdr:row>5</xdr:row>
      <xdr:rowOff>203517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EFD54CB-4DC9-4577-A3FD-8866C8F14656}"/>
            </a:ext>
          </a:extLst>
        </xdr:cNvPr>
        <xdr:cNvSpPr/>
      </xdr:nvSpPr>
      <xdr:spPr bwMode="auto">
        <a:xfrm>
          <a:off x="13383895" y="877887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35</xdr:col>
      <xdr:colOff>296332</xdr:colOff>
      <xdr:row>2</xdr:row>
      <xdr:rowOff>182880</xdr:rowOff>
    </xdr:from>
    <xdr:to>
      <xdr:col>36</xdr:col>
      <xdr:colOff>45719</xdr:colOff>
      <xdr:row>6</xdr:row>
      <xdr:rowOff>68580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739502B-A134-4650-9D3B-1048E0F7340C}"/>
            </a:ext>
          </a:extLst>
        </xdr:cNvPr>
        <xdr:cNvSpPr txBox="1"/>
      </xdr:nvSpPr>
      <xdr:spPr>
        <a:xfrm>
          <a:off x="13288432" y="556260"/>
          <a:ext cx="358987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twoCellAnchor editAs="absolute">
    <xdr:from>
      <xdr:col>35</xdr:col>
      <xdr:colOff>451696</xdr:colOff>
      <xdr:row>5</xdr:row>
      <xdr:rowOff>234422</xdr:rowOff>
    </xdr:from>
    <xdr:to>
      <xdr:col>35</xdr:col>
      <xdr:colOff>515196</xdr:colOff>
      <xdr:row>6</xdr:row>
      <xdr:rowOff>23602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F5E57FF-73D7-4DB1-8677-D3038B598595}"/>
            </a:ext>
          </a:extLst>
        </xdr:cNvPr>
        <xdr:cNvSpPr/>
      </xdr:nvSpPr>
      <xdr:spPr bwMode="auto">
        <a:xfrm>
          <a:off x="13443796" y="10421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86F03E41-B495-4FE1-8490-FAAD903DD75F}"/>
            </a:ext>
          </a:extLst>
        </xdr:cNvPr>
        <xdr:cNvSpPr txBox="1"/>
      </xdr:nvSpPr>
      <xdr:spPr>
        <a:xfrm>
          <a:off x="9760373" y="557022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35</xdr:col>
      <xdr:colOff>569490</xdr:colOff>
      <xdr:row>8</xdr:row>
      <xdr:rowOff>106680</xdr:rowOff>
    </xdr:from>
    <xdr:to>
      <xdr:col>40</xdr:col>
      <xdr:colOff>30479</xdr:colOff>
      <xdr:row>15</xdr:row>
      <xdr:rowOff>83820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D4F437B-9BE0-49C1-A491-7035CFBD4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60960</xdr:colOff>
      <xdr:row>17</xdr:row>
      <xdr:rowOff>64770</xdr:rowOff>
    </xdr:from>
    <xdr:to>
      <xdr:col>22</xdr:col>
      <xdr:colOff>129540</xdr:colOff>
      <xdr:row>24</xdr:row>
      <xdr:rowOff>38100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612DD3B-980D-4BB9-A9E0-3F7AD2AD5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26</xdr:col>
      <xdr:colOff>198120</xdr:colOff>
      <xdr:row>17</xdr:row>
      <xdr:rowOff>30480</xdr:rowOff>
    </xdr:from>
    <xdr:to>
      <xdr:col>34</xdr:col>
      <xdr:colOff>426720</xdr:colOff>
      <xdr:row>24</xdr:row>
      <xdr:rowOff>160020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B51E466-4BAD-45F3-9626-FC773B18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577110</xdr:colOff>
      <xdr:row>18</xdr:row>
      <xdr:rowOff>22860</xdr:rowOff>
    </xdr:from>
    <xdr:to>
      <xdr:col>40</xdr:col>
      <xdr:colOff>38099</xdr:colOff>
      <xdr:row>25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387E5BCE-38FE-45F1-B9FA-84D539BA7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137160</xdr:colOff>
      <xdr:row>26</xdr:row>
      <xdr:rowOff>11430</xdr:rowOff>
    </xdr:from>
    <xdr:to>
      <xdr:col>22</xdr:col>
      <xdr:colOff>152400</xdr:colOff>
      <xdr:row>32</xdr:row>
      <xdr:rowOff>167640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E2A93E2-37D4-4FA8-BDA8-D4C04E8C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26</xdr:col>
      <xdr:colOff>167640</xdr:colOff>
      <xdr:row>25</xdr:row>
      <xdr:rowOff>167640</xdr:rowOff>
    </xdr:from>
    <xdr:to>
      <xdr:col>34</xdr:col>
      <xdr:colOff>396240</xdr:colOff>
      <xdr:row>33</xdr:row>
      <xdr:rowOff>114300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30D0770F-1631-4BE1-A10C-EE4EFE2EF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601980</xdr:colOff>
      <xdr:row>26</xdr:row>
      <xdr:rowOff>160020</xdr:rowOff>
    </xdr:from>
    <xdr:to>
      <xdr:col>40</xdr:col>
      <xdr:colOff>7620</xdr:colOff>
      <xdr:row>33</xdr:row>
      <xdr:rowOff>137160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6D543F95-3758-49DC-B2FA-DD2FE4E47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37</xdr:col>
      <xdr:colOff>304800</xdr:colOff>
      <xdr:row>2</xdr:row>
      <xdr:rowOff>167640</xdr:rowOff>
    </xdr:from>
    <xdr:to>
      <xdr:col>37</xdr:col>
      <xdr:colOff>579120</xdr:colOff>
      <xdr:row>6</xdr:row>
      <xdr:rowOff>11007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EA48E63-6968-AFBA-403C-63518041C353}"/>
            </a:ext>
          </a:extLst>
        </xdr:cNvPr>
        <xdr:cNvSpPr txBox="1"/>
      </xdr:nvSpPr>
      <xdr:spPr>
        <a:xfrm>
          <a:off x="14516100" y="541020"/>
          <a:ext cx="27432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6F8DB9"/>
              </a:solidFill>
            </a:rPr>
            <a:t>_</a:t>
          </a:r>
        </a:p>
      </xdr:txBody>
    </xdr:sp>
    <xdr:clientData/>
  </xdr:twoCellAnchor>
  <xdr:twoCellAnchor editAs="absolute">
    <xdr:from>
      <xdr:col>37</xdr:col>
      <xdr:colOff>456353</xdr:colOff>
      <xdr:row>5</xdr:row>
      <xdr:rowOff>219181</xdr:rowOff>
    </xdr:from>
    <xdr:to>
      <xdr:col>37</xdr:col>
      <xdr:colOff>519853</xdr:colOff>
      <xdr:row>6</xdr:row>
      <xdr:rowOff>8361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A537CA0D-C51C-2367-E561-957FEC2C0778}"/>
            </a:ext>
          </a:extLst>
        </xdr:cNvPr>
        <xdr:cNvSpPr/>
      </xdr:nvSpPr>
      <xdr:spPr bwMode="auto">
        <a:xfrm>
          <a:off x="14667653" y="1026901"/>
          <a:ext cx="63500" cy="63500"/>
        </a:xfrm>
        <a:prstGeom prst="ellipse">
          <a:avLst/>
        </a:prstGeom>
        <a:solidFill>
          <a:srgbClr val="6F8DB9"/>
        </a:solidFill>
        <a:ln w="9525" cap="flat" cmpd="sng" algn="ctr">
          <a:solidFill>
            <a:srgbClr val="6F8DB9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33</xdr:col>
      <xdr:colOff>259080</xdr:colOff>
      <xdr:row>2</xdr:row>
      <xdr:rowOff>182880</xdr:rowOff>
    </xdr:from>
    <xdr:to>
      <xdr:col>33</xdr:col>
      <xdr:colOff>563880</xdr:colOff>
      <xdr:row>6</xdr:row>
      <xdr:rowOff>26247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22BC07C-05C4-2DE8-25B0-B470A28B3326}"/>
            </a:ext>
          </a:extLst>
        </xdr:cNvPr>
        <xdr:cNvSpPr txBox="1"/>
      </xdr:nvSpPr>
      <xdr:spPr>
        <a:xfrm>
          <a:off x="12031980" y="55626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C0C0C0"/>
              </a:solidFill>
            </a:rPr>
            <a:t>_</a:t>
          </a:r>
        </a:p>
      </xdr:txBody>
    </xdr:sp>
    <xdr:clientData/>
  </xdr:twoCellAnchor>
  <xdr:twoCellAnchor editAs="absolute">
    <xdr:from>
      <xdr:col>33</xdr:col>
      <xdr:colOff>410633</xdr:colOff>
      <xdr:row>5</xdr:row>
      <xdr:rowOff>234421</xdr:rowOff>
    </xdr:from>
    <xdr:to>
      <xdr:col>33</xdr:col>
      <xdr:colOff>474133</xdr:colOff>
      <xdr:row>6</xdr:row>
      <xdr:rowOff>23601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7C2806F6-B114-F271-EE36-569BC1B4E230}"/>
            </a:ext>
          </a:extLst>
        </xdr:cNvPr>
        <xdr:cNvSpPr/>
      </xdr:nvSpPr>
      <xdr:spPr bwMode="auto">
        <a:xfrm>
          <a:off x="12183533" y="1042141"/>
          <a:ext cx="63500" cy="63500"/>
        </a:xfrm>
        <a:prstGeom prst="ellipse">
          <a:avLst/>
        </a:prstGeom>
        <a:solidFill>
          <a:srgbClr val="C0C0C0"/>
        </a:solidFill>
        <a:ln w="9525" cap="flat" cmpd="sng" algn="ctr">
          <a:solidFill>
            <a:srgbClr val="C0C0C0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24</xdr:col>
      <xdr:colOff>205740</xdr:colOff>
      <xdr:row>7</xdr:row>
      <xdr:rowOff>114300</xdr:rowOff>
    </xdr:from>
    <xdr:to>
      <xdr:col>24</xdr:col>
      <xdr:colOff>205740</xdr:colOff>
      <xdr:row>41</xdr:row>
      <xdr:rowOff>101782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C6AFC361-1E7D-4935-9F28-73C33603951D}"/>
            </a:ext>
          </a:extLst>
        </xdr:cNvPr>
        <xdr:cNvCxnSpPr>
          <a:cxnSpLocks/>
        </xdr:cNvCxnSpPr>
      </xdr:nvCxnSpPr>
      <xdr:spPr>
        <a:xfrm>
          <a:off x="7650480" y="131826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8</xdr:row>
      <xdr:rowOff>19050</xdr:rowOff>
    </xdr:from>
    <xdr:to>
      <xdr:col>22</xdr:col>
      <xdr:colOff>160020</xdr:colOff>
      <xdr:row>14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C1A9B3-D941-488A-9744-2A314B28C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0</xdr:colOff>
      <xdr:row>0</xdr:row>
      <xdr:rowOff>22860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65F3C692-E7CC-4A98-88B7-02B1A1A0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2100" y="2286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26</xdr:col>
      <xdr:colOff>167640</xdr:colOff>
      <xdr:row>8</xdr:row>
      <xdr:rowOff>152400</xdr:rowOff>
    </xdr:from>
    <xdr:to>
      <xdr:col>34</xdr:col>
      <xdr:colOff>396240</xdr:colOff>
      <xdr:row>15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3438459-E14E-47A6-B165-FFF465238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2F029E0-D5D3-42A6-AAFE-262EDCFB7664}"/>
            </a:ext>
          </a:extLst>
        </xdr:cNvPr>
        <xdr:cNvSpPr txBox="1"/>
      </xdr:nvSpPr>
      <xdr:spPr>
        <a:xfrm>
          <a:off x="9310793" y="5562600"/>
          <a:ext cx="21336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40</xdr:col>
      <xdr:colOff>15240</xdr:colOff>
      <xdr:row>8</xdr:row>
      <xdr:rowOff>30480</xdr:rowOff>
    </xdr:from>
    <xdr:to>
      <xdr:col>44</xdr:col>
      <xdr:colOff>350520</xdr:colOff>
      <xdr:row>15</xdr:row>
      <xdr:rowOff>7620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1CFB075-5340-496B-9926-F130059E8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60960</xdr:colOff>
      <xdr:row>17</xdr:row>
      <xdr:rowOff>64770</xdr:rowOff>
    </xdr:from>
    <xdr:to>
      <xdr:col>22</xdr:col>
      <xdr:colOff>129540</xdr:colOff>
      <xdr:row>23</xdr:row>
      <xdr:rowOff>53340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7EA1561-FA12-4E65-955A-85415FFEF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26</xdr:col>
      <xdr:colOff>198120</xdr:colOff>
      <xdr:row>17</xdr:row>
      <xdr:rowOff>30480</xdr:rowOff>
    </xdr:from>
    <xdr:to>
      <xdr:col>34</xdr:col>
      <xdr:colOff>426720</xdr:colOff>
      <xdr:row>23</xdr:row>
      <xdr:rowOff>175260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960C2B1-A1F0-446E-ABCF-2FDA14D7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22860</xdr:colOff>
      <xdr:row>17</xdr:row>
      <xdr:rowOff>129540</xdr:rowOff>
    </xdr:from>
    <xdr:to>
      <xdr:col>44</xdr:col>
      <xdr:colOff>358140</xdr:colOff>
      <xdr:row>24</xdr:row>
      <xdr:rowOff>106680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93898EB-EBCE-4335-9EDF-CAD2AECB3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137160</xdr:colOff>
      <xdr:row>26</xdr:row>
      <xdr:rowOff>11430</xdr:rowOff>
    </xdr:from>
    <xdr:to>
      <xdr:col>22</xdr:col>
      <xdr:colOff>152400</xdr:colOff>
      <xdr:row>32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B741595-7F8F-4BD1-854B-954090A92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26</xdr:col>
      <xdr:colOff>167640</xdr:colOff>
      <xdr:row>25</xdr:row>
      <xdr:rowOff>167640</xdr:rowOff>
    </xdr:from>
    <xdr:to>
      <xdr:col>34</xdr:col>
      <xdr:colOff>396240</xdr:colOff>
      <xdr:row>32</xdr:row>
      <xdr:rowOff>129540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FFDEDEF-690B-45C6-9AA0-08B01E560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358140</xdr:colOff>
      <xdr:row>26</xdr:row>
      <xdr:rowOff>83820</xdr:rowOff>
    </xdr:from>
    <xdr:to>
      <xdr:col>44</xdr:col>
      <xdr:colOff>327660</xdr:colOff>
      <xdr:row>33</xdr:row>
      <xdr:rowOff>60960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D5D0C8D3-C368-4073-9852-198C71083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167640</xdr:colOff>
      <xdr:row>7</xdr:row>
      <xdr:rowOff>129540</xdr:rowOff>
    </xdr:from>
    <xdr:to>
      <xdr:col>24</xdr:col>
      <xdr:colOff>167640</xdr:colOff>
      <xdr:row>41</xdr:row>
      <xdr:rowOff>139882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B194582-28CB-4DC3-BCDB-92C502461C35}"/>
            </a:ext>
          </a:extLst>
        </xdr:cNvPr>
        <xdr:cNvCxnSpPr>
          <a:cxnSpLocks/>
        </xdr:cNvCxnSpPr>
      </xdr:nvCxnSpPr>
      <xdr:spPr>
        <a:xfrm>
          <a:off x="7612380" y="144018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236220</xdr:colOff>
      <xdr:row>2</xdr:row>
      <xdr:rowOff>152400</xdr:rowOff>
    </xdr:from>
    <xdr:to>
      <xdr:col>37</xdr:col>
      <xdr:colOff>556260</xdr:colOff>
      <xdr:row>6</xdr:row>
      <xdr:rowOff>53340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5A5CD5A2-7D02-4F46-D618-F1ABE20BE977}"/>
            </a:ext>
          </a:extLst>
        </xdr:cNvPr>
        <xdr:cNvGrpSpPr/>
      </xdr:nvGrpSpPr>
      <xdr:grpSpPr>
        <a:xfrm>
          <a:off x="12009120" y="533400"/>
          <a:ext cx="2758440" cy="601980"/>
          <a:chOff x="12131040" y="548640"/>
          <a:chExt cx="2758440" cy="601980"/>
        </a:xfrm>
      </xdr:grpSpPr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FC7A5D2A-42F7-4ACB-9E08-C56ABFFE31A2}"/>
              </a:ext>
            </a:extLst>
          </xdr:cNvPr>
          <xdr:cNvSpPr txBox="1"/>
        </xdr:nvSpPr>
        <xdr:spPr>
          <a:xfrm>
            <a:off x="13387492" y="563880"/>
            <a:ext cx="358987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3600" b="0">
                <a:solidFill>
                  <a:schemeClr val="accent1">
                    <a:lumMod val="90000"/>
                    <a:lumOff val="10000"/>
                  </a:schemeClr>
                </a:solidFill>
              </a:rPr>
              <a:t>_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A17C9F7B-E4A8-47B9-863A-22BB59E57530}"/>
              </a:ext>
            </a:extLst>
          </xdr:cNvPr>
          <xdr:cNvSpPr/>
        </xdr:nvSpPr>
        <xdr:spPr bwMode="auto">
          <a:xfrm>
            <a:off x="13542856" y="1042142"/>
            <a:ext cx="63500" cy="63500"/>
          </a:xfrm>
          <a:prstGeom prst="ellipse">
            <a:avLst/>
          </a:prstGeom>
          <a:solidFill>
            <a:srgbClr val="0000BF"/>
          </a:solidFill>
          <a:ln w="9525" cap="flat" cmpd="sng" algn="ctr">
            <a:solidFill>
              <a:srgbClr val="0000BF"/>
            </a:solidFill>
            <a:prstDash val="solid"/>
            <a:miter lim="800000"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60D6D319-3099-4AA8-966E-FF9CD15F66D8}"/>
              </a:ext>
            </a:extLst>
          </xdr:cNvPr>
          <xdr:cNvSpPr txBox="1"/>
        </xdr:nvSpPr>
        <xdr:spPr>
          <a:xfrm>
            <a:off x="14615160" y="548640"/>
            <a:ext cx="274320" cy="5444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3600" b="0">
                <a:solidFill>
                  <a:srgbClr val="6F8DB9"/>
                </a:solidFill>
              </a:rPr>
              <a:t>_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C07D04F0-D45C-4AB5-A9DE-24E1718BCECD}"/>
              </a:ext>
            </a:extLst>
          </xdr:cNvPr>
          <xdr:cNvSpPr/>
        </xdr:nvSpPr>
        <xdr:spPr bwMode="auto">
          <a:xfrm>
            <a:off x="14766713" y="1026901"/>
            <a:ext cx="63500" cy="63500"/>
          </a:xfrm>
          <a:prstGeom prst="ellipse">
            <a:avLst/>
          </a:prstGeom>
          <a:solidFill>
            <a:srgbClr val="6F8DB9"/>
          </a:solidFill>
          <a:ln w="9525" cap="flat" cmpd="sng" algn="ctr">
            <a:solidFill>
              <a:srgbClr val="6F8DB9"/>
            </a:solidFill>
            <a:prstDash val="solid"/>
            <a:miter lim="800000"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6F01B6FD-4F68-4954-BC8C-64C234816F1C}"/>
              </a:ext>
            </a:extLst>
          </xdr:cNvPr>
          <xdr:cNvSpPr txBox="1"/>
        </xdr:nvSpPr>
        <xdr:spPr>
          <a:xfrm>
            <a:off x="12131040" y="563880"/>
            <a:ext cx="304800" cy="5444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3600" b="0">
                <a:solidFill>
                  <a:srgbClr val="C0C0C0"/>
                </a:solidFill>
              </a:rPr>
              <a:t>_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6E8E28EB-AB11-43AF-AC4F-3FA1A541F781}"/>
              </a:ext>
            </a:extLst>
          </xdr:cNvPr>
          <xdr:cNvSpPr/>
        </xdr:nvSpPr>
        <xdr:spPr bwMode="auto">
          <a:xfrm>
            <a:off x="12282593" y="1042141"/>
            <a:ext cx="63500" cy="63500"/>
          </a:xfrm>
          <a:prstGeom prst="ellipse">
            <a:avLst/>
          </a:prstGeom>
          <a:solidFill>
            <a:srgbClr val="C0C0C0"/>
          </a:solidFill>
          <a:ln w="9525" cap="flat" cmpd="sng" algn="ctr">
            <a:solidFill>
              <a:srgbClr val="C0C0C0"/>
            </a:solidFill>
            <a:prstDash val="solid"/>
            <a:miter lim="800000"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F22B15DF-5EE1-423C-BD0A-D81D3356763A}"/>
              </a:ext>
            </a:extLst>
          </xdr:cNvPr>
          <xdr:cNvSpPr/>
        </xdr:nvSpPr>
        <xdr:spPr bwMode="auto">
          <a:xfrm>
            <a:off x="12214860" y="891540"/>
            <a:ext cx="179388" cy="133350"/>
          </a:xfrm>
          <a:prstGeom prst="rect">
            <a:avLst/>
          </a:prstGeom>
          <a:solidFill>
            <a:srgbClr val="C0C0C0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DAB08E4C-76C2-4618-B2C4-44585909CA61}"/>
              </a:ext>
            </a:extLst>
          </xdr:cNvPr>
          <xdr:cNvSpPr/>
        </xdr:nvSpPr>
        <xdr:spPr bwMode="auto">
          <a:xfrm>
            <a:off x="14706917" y="868680"/>
            <a:ext cx="179388" cy="133350"/>
          </a:xfrm>
          <a:prstGeom prst="rect">
            <a:avLst/>
          </a:prstGeom>
          <a:solidFill>
            <a:srgbClr val="6F8DB9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  <a:headEnd type="none" w="med" len="med"/>
                <a:tailEnd type="none" w="med" len="me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A022217C-B381-46E8-932B-347DAC9C10D5}"/>
              </a:ext>
            </a:extLst>
          </xdr:cNvPr>
          <xdr:cNvSpPr/>
        </xdr:nvSpPr>
        <xdr:spPr bwMode="auto">
          <a:xfrm>
            <a:off x="13490575" y="883920"/>
            <a:ext cx="179388" cy="133350"/>
          </a:xfrm>
          <a:prstGeom prst="rect">
            <a:avLst/>
          </a:prstGeom>
          <a:solidFill>
            <a:srgbClr val="0000BF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  <a:headEnd type="none" w="med" len="med"/>
                <a:tailEnd type="none" w="med" len="me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8</xdr:row>
      <xdr:rowOff>64770</xdr:rowOff>
    </xdr:from>
    <xdr:to>
      <xdr:col>22</xdr:col>
      <xdr:colOff>152400</xdr:colOff>
      <xdr:row>24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AFA858-0CD5-4372-8DE4-E32F1C85D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7620</xdr:colOff>
      <xdr:row>0</xdr:row>
      <xdr:rowOff>45720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C7DC590F-E405-4713-9E94-A5C33816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9720" y="45720"/>
          <a:ext cx="2425941" cy="550333"/>
        </a:xfrm>
        <a:prstGeom prst="rect">
          <a:avLst/>
        </a:prstGeom>
      </xdr:spPr>
    </xdr:pic>
    <xdr:clientData/>
  </xdr:oneCellAnchor>
  <xdr:twoCellAnchor>
    <xdr:from>
      <xdr:col>24</xdr:col>
      <xdr:colOff>198120</xdr:colOff>
      <xdr:row>7</xdr:row>
      <xdr:rowOff>137160</xdr:rowOff>
    </xdr:from>
    <xdr:to>
      <xdr:col>24</xdr:col>
      <xdr:colOff>198120</xdr:colOff>
      <xdr:row>42</xdr:row>
      <xdr:rowOff>17962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3307B444-9185-4DA0-83B2-DF9EF370B90D}"/>
            </a:ext>
          </a:extLst>
        </xdr:cNvPr>
        <xdr:cNvCxnSpPr>
          <a:cxnSpLocks/>
        </xdr:cNvCxnSpPr>
      </xdr:nvCxnSpPr>
      <xdr:spPr>
        <a:xfrm>
          <a:off x="7421880" y="1531620"/>
          <a:ext cx="0" cy="62435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320040</xdr:colOff>
      <xdr:row>5</xdr:row>
      <xdr:rowOff>75232</xdr:rowOff>
    </xdr:from>
    <xdr:to>
      <xdr:col>37</xdr:col>
      <xdr:colOff>553085</xdr:colOff>
      <xdr:row>5</xdr:row>
      <xdr:rowOff>223532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7CB5F631-CF66-47EA-A48D-6285B414E03E}"/>
            </a:ext>
          </a:extLst>
        </xdr:cNvPr>
        <xdr:cNvGrpSpPr/>
      </xdr:nvGrpSpPr>
      <xdr:grpSpPr>
        <a:xfrm>
          <a:off x="12092940" y="890572"/>
          <a:ext cx="2671445" cy="148300"/>
          <a:chOff x="12214860" y="868680"/>
          <a:chExt cx="2671445" cy="15621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7BF33BF-AFE1-46EA-5DE7-EE3772AD0F2B}"/>
              </a:ext>
            </a:extLst>
          </xdr:cNvPr>
          <xdr:cNvSpPr/>
        </xdr:nvSpPr>
        <xdr:spPr bwMode="auto">
          <a:xfrm>
            <a:off x="12214860" y="891540"/>
            <a:ext cx="179388" cy="133350"/>
          </a:xfrm>
          <a:prstGeom prst="rect">
            <a:avLst/>
          </a:prstGeom>
          <a:solidFill>
            <a:srgbClr val="C0C0C0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E0B81AB3-7EFE-CAE8-8CC9-EA47830EA864}"/>
              </a:ext>
            </a:extLst>
          </xdr:cNvPr>
          <xdr:cNvSpPr/>
        </xdr:nvSpPr>
        <xdr:spPr bwMode="auto">
          <a:xfrm>
            <a:off x="14706917" y="868680"/>
            <a:ext cx="179388" cy="133350"/>
          </a:xfrm>
          <a:prstGeom prst="rect">
            <a:avLst/>
          </a:prstGeom>
          <a:solidFill>
            <a:srgbClr val="6F8DB9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  <a:headEnd type="none" w="med" len="med"/>
                <a:tailEnd type="none" w="med" len="me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328C941A-FF34-13DB-DBF0-CEDAD1D04305}"/>
              </a:ext>
            </a:extLst>
          </xdr:cNvPr>
          <xdr:cNvSpPr/>
        </xdr:nvSpPr>
        <xdr:spPr bwMode="auto">
          <a:xfrm>
            <a:off x="13490575" y="883920"/>
            <a:ext cx="179388" cy="133350"/>
          </a:xfrm>
          <a:prstGeom prst="rect">
            <a:avLst/>
          </a:prstGeom>
          <a:solidFill>
            <a:srgbClr val="0000BF"/>
          </a:solidFill>
          <a:ln w="12700" cap="flat" cmpd="sng" algn="ctr">
            <a:noFill/>
            <a:prstDash val="solid"/>
            <a:miter lim="800000"/>
            <a:headEnd type="none" w="med" len="med"/>
            <a:tailEnd type="none" w="med" len="med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  <a:headEnd type="none" w="med" len="med"/>
                <a:tailEnd type="none" w="med" len="me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  <xdr:twoCellAnchor>
    <xdr:from>
      <xdr:col>27</xdr:col>
      <xdr:colOff>411480</xdr:colOff>
      <xdr:row>8</xdr:row>
      <xdr:rowOff>121920</xdr:rowOff>
    </xdr:from>
    <xdr:to>
      <xdr:col>37</xdr:col>
      <xdr:colOff>593880</xdr:colOff>
      <xdr:row>24</xdr:row>
      <xdr:rowOff>169440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3BCD41-F3E3-40C5-A9A4-B00ABF88E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V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00BF"/>
      </a:accent1>
      <a:accent2>
        <a:srgbClr val="000000"/>
      </a:accent2>
      <a:accent3>
        <a:srgbClr val="6F8DB9"/>
      </a:accent3>
      <a:accent4>
        <a:srgbClr val="000000"/>
      </a:accent4>
      <a:accent5>
        <a:srgbClr val="002060"/>
      </a:accent5>
      <a:accent6>
        <a:srgbClr val="000000"/>
      </a:accent6>
      <a:hlink>
        <a:srgbClr val="00206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32AC4-7056-42AF-8505-2AA02DFDDAB5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_V_cjG_216BLEsIsd2Gj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customProperty" Target="../customProperty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4069-3DD6-4D13-83A2-A6C06610131A}">
  <sheetPr codeName="Planilha1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customProperties>
    <customPr name="CafeStyleVersion" r:id="rId1"/>
    <customPr name="LastTupleSet_0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682C-FECC-460A-B141-E475051105C8}">
  <sheetPr codeName="Planilha2"/>
  <dimension ref="A1"/>
  <sheetViews>
    <sheetView showGridLines="0" workbookViewId="0">
      <selection activeCell="Q2" sqref="Q2"/>
    </sheetView>
  </sheetViews>
  <sheetFormatPr defaultColWidth="11.33203125" defaultRowHeight="14.4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CA92-90D3-4534-9C3A-E4926D1A70FF}">
  <sheetPr codeName="Planilha3"/>
  <dimension ref="A1:B120"/>
  <sheetViews>
    <sheetView topLeftCell="A29" workbookViewId="0">
      <selection activeCell="A60" sqref="A60"/>
    </sheetView>
  </sheetViews>
  <sheetFormatPr defaultRowHeight="14.4"/>
  <cols>
    <col min="1" max="1" width="9.109375" bestFit="1" customWidth="1"/>
  </cols>
  <sheetData>
    <row r="1" spans="1:2">
      <c r="A1" s="1" t="s">
        <v>1</v>
      </c>
      <c r="B1" s="1"/>
    </row>
    <row r="2" spans="1:2">
      <c r="A2" s="2" t="s">
        <v>2</v>
      </c>
      <c r="B2" s="2"/>
    </row>
    <row r="3" spans="1:2">
      <c r="A3" s="2" t="s">
        <v>3</v>
      </c>
      <c r="B3" s="2"/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8" spans="1:2">
      <c r="A8" s="1" t="s">
        <v>7</v>
      </c>
      <c r="B8" s="1"/>
    </row>
    <row r="11" spans="1:2">
      <c r="A11" s="1" t="s">
        <v>8</v>
      </c>
      <c r="B11" s="1"/>
    </row>
    <row r="12" spans="1:2">
      <c r="A12" t="str">
        <f>_xll.SUBNM("CONS_VC:ALL.D.Month",,"Total YTD","MEMBER_NAME")</f>
        <v>Total YTD</v>
      </c>
    </row>
    <row r="13" spans="1:2">
      <c r="A13" t="str">
        <f>_xll.SUBNM("CONS_VC:ALL.D.Month",,"Year","MEMBER_NAME")</f>
        <v>Year</v>
      </c>
    </row>
    <row r="16" spans="1:2">
      <c r="A16" s="1" t="s">
        <v>9</v>
      </c>
      <c r="B16" s="1"/>
    </row>
    <row r="22" spans="1:2">
      <c r="A22" s="1" t="s">
        <v>10</v>
      </c>
      <c r="B22" s="1"/>
    </row>
    <row r="23" spans="1:2">
      <c r="A23" t="str">
        <f>_xll.SUBNM("CONS_VC:ALL.D.Currency","","BRL Conv.")</f>
        <v>BRL Conv.</v>
      </c>
    </row>
    <row r="24" spans="1:2">
      <c r="A24" t="str">
        <f>_xll.SUBNM("CONS_VC:ALL.D.Currency","","USD Conv.")</f>
        <v>USD Conv.</v>
      </c>
    </row>
    <row r="25" spans="1:2">
      <c r="A25" t="str">
        <f>_xll.SUBNM("CONS_VC:ALL.D.Currency","","EUR Conv.")</f>
        <v>EUR Conv.</v>
      </c>
    </row>
    <row r="28" spans="1:2">
      <c r="A28" s="1" t="s">
        <v>11</v>
      </c>
      <c r="B28" s="1"/>
    </row>
    <row r="29" spans="1:2">
      <c r="A29" t="str">
        <f>_xll.SUBNM("CONS_VC:ALL.D.Region","","Global")</f>
        <v>Global</v>
      </c>
    </row>
    <row r="30" spans="1:2">
      <c r="A30" t="s">
        <v>19</v>
      </c>
    </row>
    <row r="31" spans="1:2">
      <c r="A31" t="s">
        <v>20</v>
      </c>
    </row>
    <row r="32" spans="1:2">
      <c r="A32" t="s">
        <v>33</v>
      </c>
    </row>
    <row r="33" spans="1:2">
      <c r="A33" t="s">
        <v>34</v>
      </c>
    </row>
    <row r="35" spans="1:2">
      <c r="A35" s="1" t="s">
        <v>12</v>
      </c>
      <c r="B35" s="1"/>
    </row>
    <row r="36" spans="1:2">
      <c r="A36" t="str">
        <f>_xll.SUBNM("CONS_VC:ALL.D.Products","","Total Products")</f>
        <v>Total Products</v>
      </c>
    </row>
    <row r="38" spans="1:2">
      <c r="A38" s="1" t="s">
        <v>13</v>
      </c>
      <c r="B38" s="1"/>
    </row>
    <row r="39" spans="1:2">
      <c r="A39" t="s">
        <v>14</v>
      </c>
    </row>
    <row r="41" spans="1:2">
      <c r="A41" s="3" t="s">
        <v>15</v>
      </c>
      <c r="B41" s="3"/>
    </row>
    <row r="42" spans="1:2">
      <c r="A42" t="s">
        <v>16</v>
      </c>
    </row>
    <row r="43" spans="1:2">
      <c r="A43" s="4"/>
      <c r="B43" s="4"/>
    </row>
    <row r="44" spans="1:2">
      <c r="A44" s="5"/>
      <c r="B44" s="5"/>
    </row>
    <row r="45" spans="1:2">
      <c r="A45" s="1" t="s">
        <v>17</v>
      </c>
      <c r="B45" s="1"/>
    </row>
    <row r="46" spans="1:2">
      <c r="A46" s="6" t="s">
        <v>18</v>
      </c>
      <c r="B46" s="6" t="s">
        <v>25</v>
      </c>
    </row>
    <row r="47" spans="1:2">
      <c r="A47" s="174" t="e" cm="1">
        <f t="array" ref="A47">_xll.DBR($A$3,Summary!$S$6,Summary!$U$6,Summary!$M$6,$A$23,$A$29,$A$36,"EBITDA","Total Value")</f>
        <v>#VALUE!</v>
      </c>
      <c r="B47" s="7" t="e">
        <f>"R$ "&amp; ROUND(A47,0) &amp; " M"</f>
        <v>#VALUE!</v>
      </c>
    </row>
    <row r="48" spans="1:2">
      <c r="A48" s="48" t="str" cm="1">
        <f t="array" ref="A48">IFERROR((_xll.DBR($A$3,Summary!$S$6,Summary!$U$6,Summary!$M$6,$A$23,$A$29,$A$36,"EBITDA","Total Value") - _xll.DBR($A$3,Summary!$S$6,Summary!$U$6,Summary!$O$6,$A$23,$A$29,$A$36,"EBITDA","Total Value"))/ _xll.DBR($A$3,Summary!$S$6,Summary!$U$6,Summary!$O$6,$A$23,$A$29,$A$36,"EBITDA","Total Value"),0) &amp;"%" &amp; " vs. Budget"</f>
        <v>0% vs. Budget</v>
      </c>
      <c r="B48" s="1"/>
    </row>
    <row r="49" spans="1:2">
      <c r="A49" s="48"/>
    </row>
    <row r="50" spans="1:2">
      <c r="A50" s="175" t="s">
        <v>26</v>
      </c>
      <c r="B50" s="6" t="s">
        <v>25</v>
      </c>
    </row>
    <row r="51" spans="1:2">
      <c r="A51" s="176" t="e" cm="1">
        <f t="array" ref="A51">_xll.DBR($A$3,Summary!$S$6,$A$12,Summary!$M$6,$A$23,$A$29,$A$36,"EBITDA","Total Value")</f>
        <v>#VALUE!</v>
      </c>
      <c r="B51" s="4" t="e">
        <f>"R$ "&amp; ROUND(A51,0) &amp; " M"</f>
        <v>#VALUE!</v>
      </c>
    </row>
    <row r="52" spans="1:2">
      <c r="A52" s="176" t="str" cm="1">
        <f t="array" ref="A52">IFERROR((_xll.DBR($A$3,Summary!$S$6,$A$12,Summary!$M$6,$A$23,$A$29,$A$36,"EBITDA","Total Value") - _xll.DBR($A$3,Summary!$S$6,$A$12,Summary!$O$6,$A$23,$A$29,$A$36,"EBITDA","Total Value"))/ _xll.DBR($A$3,Summary!$S$6,$A$12,Summary!$O$6,$A$23,$A$29,$A$36,"EBITDA","Total Value"),0) &amp;"%" &amp; " vs. Budget"</f>
        <v>0% vs. Budget</v>
      </c>
      <c r="B52" s="4"/>
    </row>
    <row r="53" spans="1:2">
      <c r="A53" s="176"/>
      <c r="B53" s="4"/>
    </row>
    <row r="54" spans="1:2">
      <c r="A54" s="175" t="s">
        <v>28</v>
      </c>
      <c r="B54" s="6" t="s">
        <v>25</v>
      </c>
    </row>
    <row r="55" spans="1:2">
      <c r="A55" s="176" t="e" cm="1">
        <f t="array" ref="A55">_xll.DBR($A$3,Summary!$S$6,$A$13,Summary!$M$6,$A$23,$A$29,$A$36,"EBITDA","Total Value")</f>
        <v>#VALUE!</v>
      </c>
      <c r="B55" s="4" t="e">
        <f>"R$ "&amp; ROUND(A55,0) &amp; " M"</f>
        <v>#VALUE!</v>
      </c>
    </row>
    <row r="56" spans="1:2">
      <c r="A56" s="176" t="str" cm="1">
        <f t="array" ref="A56">IFERROR((_xll.DBR($A$3,Summary!$S$6,$A$13,Summary!$M$6,$A$23,$A$29,$A$36,"EBITDA","Total Value") - _xll.DBR($A$3,Summary!$S$6,$A$13,Summary!$O$6,$A$23,$A$29,$A$36,"EBITDA","Total Value"))/ _xll.DBR($A$3,Summary!$S$6,$A$13,Summary!$O$6,$A$23,$A$29,$A$36,"EBITDA","Total Value"),0) &amp;"%" &amp; " vs. Budget"</f>
        <v>0% vs. Budget</v>
      </c>
      <c r="B56" s="4"/>
    </row>
    <row r="57" spans="1:2">
      <c r="A57" s="176"/>
      <c r="B57" s="4"/>
    </row>
    <row r="58" spans="1:2">
      <c r="A58" s="66" t="s">
        <v>29</v>
      </c>
      <c r="B58" s="1" t="s">
        <v>25</v>
      </c>
    </row>
    <row r="59" spans="1:2">
      <c r="A59" s="175" t="s">
        <v>19</v>
      </c>
      <c r="B59" s="6"/>
    </row>
    <row r="60" spans="1:2">
      <c r="A60" s="176" t="e" cm="1">
        <f t="array" ref="A60">_xll.DBR($A$3,Summary!$S$6,Summary!$U$6,Summary!$K$6,$A$23,$A$30,$A$36,"EBITDA","Total Value")</f>
        <v>#VALUE!</v>
      </c>
      <c r="B60" s="4" t="s">
        <v>30</v>
      </c>
    </row>
    <row r="61" spans="1:2">
      <c r="A61" s="176" t="e" cm="1">
        <f t="array" ref="A61">_xll.DBR($A$3,Summary!$S$6,Summary!$U$6,Summary!$M$6,$A$23,$A$30,$A$36,"EBITDA","Total Value")</f>
        <v>#VALUE!</v>
      </c>
      <c r="B61" s="4" t="s">
        <v>31</v>
      </c>
    </row>
    <row r="62" spans="1:2">
      <c r="A62" s="177">
        <f>IFERROR((A60-A61)/A61,0)</f>
        <v>0</v>
      </c>
    </row>
    <row r="63" spans="1:2">
      <c r="A63" s="176"/>
      <c r="B63" s="4"/>
    </row>
    <row r="64" spans="1:2">
      <c r="A64" s="175" t="s">
        <v>19</v>
      </c>
      <c r="B64" s="6"/>
    </row>
    <row r="65" spans="1:2">
      <c r="A65" s="176" t="e" cm="1">
        <f t="array" ref="A65">_xll.DBR($A$3,Summary!$S$6,$A$12,Summary!$K$6,$A$23,$A$30,$A$36,"EBITDA","Total Value")</f>
        <v>#VALUE!</v>
      </c>
      <c r="B65" s="4" t="s">
        <v>30</v>
      </c>
    </row>
    <row r="66" spans="1:2">
      <c r="A66" s="176" t="e" cm="1">
        <f t="array" ref="A66">_xll.DBR($A$3,Summary!$S$6,$A$12,Summary!$M$6,$A$23,$A$30,$A$36,"EBITDA","Total Value")</f>
        <v>#VALUE!</v>
      </c>
      <c r="B66" s="4" t="s">
        <v>31</v>
      </c>
    </row>
    <row r="67" spans="1:2">
      <c r="A67" s="177">
        <f>IFERROR((A65-A66)/A66,0)</f>
        <v>0</v>
      </c>
    </row>
    <row r="68" spans="1:2">
      <c r="A68" s="176"/>
      <c r="B68" s="4"/>
    </row>
    <row r="69" spans="1:2">
      <c r="A69" s="178" t="s">
        <v>19</v>
      </c>
      <c r="B69" s="4"/>
    </row>
    <row r="70" spans="1:2">
      <c r="A70" s="176" t="e" cm="1">
        <f t="array" ref="A70">_xll.DBR($A$3,Summary!$S$6,$A$13,Summary!$K$6,$A$23,$A$30,$A$36,"EBITDA","Total Value")</f>
        <v>#VALUE!</v>
      </c>
      <c r="B70" s="4" t="s">
        <v>30</v>
      </c>
    </row>
    <row r="71" spans="1:2">
      <c r="A71" s="176" t="e" cm="1">
        <f t="array" ref="A71">_xll.DBR($A$3,Summary!$S$6,$A$13,Summary!$M$6,$A$23,$A$30,$A$36,"EBITDA","Total Value")</f>
        <v>#VALUE!</v>
      </c>
      <c r="B71" s="4" t="s">
        <v>31</v>
      </c>
    </row>
    <row r="72" spans="1:2">
      <c r="A72" s="48" t="e" cm="1">
        <f t="array" ref="A72">_xll.DBR($A$3,Summary!$S$6,$A$13,Summary!$M$6,$A$23,$A$30,$A$36,B72,"Total Value")</f>
        <v>#VALUE!</v>
      </c>
      <c r="B72" t="s">
        <v>32</v>
      </c>
    </row>
    <row r="73" spans="1:2">
      <c r="A73" s="48"/>
    </row>
    <row r="74" spans="1:2">
      <c r="A74" s="175" t="s">
        <v>20</v>
      </c>
      <c r="B74" s="6"/>
    </row>
    <row r="75" spans="1:2">
      <c r="A75" s="176" t="e" cm="1">
        <f t="array" ref="A75">_xll.DBR($A$3,Summary!$S$6,Summary!$U$6,Summary!$K$6,$A$24,$A$31,$A$36,"EBITDA","Total Value")</f>
        <v>#VALUE!</v>
      </c>
      <c r="B75" s="4" t="s">
        <v>30</v>
      </c>
    </row>
    <row r="76" spans="1:2">
      <c r="A76" s="176" t="e" cm="1">
        <f t="array" ref="A76">_xll.DBR($A$3,Summary!$S$6,Summary!$U$6,Summary!$M$6,$A$24,$A$31,$A$36,"EBITDA","Total Value")</f>
        <v>#VALUE!</v>
      </c>
      <c r="B76" s="4" t="s">
        <v>31</v>
      </c>
    </row>
    <row r="77" spans="1:2">
      <c r="A77" s="177">
        <f>IFERROR((A75-A76)/A76,0)</f>
        <v>0</v>
      </c>
    </row>
    <row r="78" spans="1:2">
      <c r="A78" s="176"/>
      <c r="B78" s="4"/>
    </row>
    <row r="79" spans="1:2">
      <c r="A79" s="175" t="s">
        <v>20</v>
      </c>
      <c r="B79" s="6"/>
    </row>
    <row r="80" spans="1:2">
      <c r="A80" s="176" t="e" cm="1">
        <f t="array" ref="A80">_xll.DBR($A$3,Summary!$S$6,$A$12,Summary!$K$6,$A$24,$A$31,$A$36,"EBITDA","Total Value")</f>
        <v>#VALUE!</v>
      </c>
      <c r="B80" s="4" t="s">
        <v>30</v>
      </c>
    </row>
    <row r="81" spans="1:2">
      <c r="A81" s="176" t="e" cm="1">
        <f t="array" ref="A81">_xll.DBR($A$3,Summary!$S$6,$A$12,Summary!$M$6,$A$24,$A$31,$A$36,"EBITDA","Total Value")</f>
        <v>#VALUE!</v>
      </c>
      <c r="B81" s="4" t="s">
        <v>31</v>
      </c>
    </row>
    <row r="82" spans="1:2">
      <c r="A82" s="177">
        <f>IFERROR((A80-A81)/A81,0)</f>
        <v>0</v>
      </c>
    </row>
    <row r="83" spans="1:2">
      <c r="A83" s="176"/>
      <c r="B83" s="4"/>
    </row>
    <row r="84" spans="1:2">
      <c r="A84" s="175" t="s">
        <v>20</v>
      </c>
      <c r="B84" s="4"/>
    </row>
    <row r="85" spans="1:2">
      <c r="A85" s="176" t="e" cm="1">
        <f t="array" ref="A85">_xll.DBR($A$3,Summary!$S$6,$A$13,Summary!$K$6,$A$24,$A$31,$A$36,"EBITDA","Total Value")</f>
        <v>#VALUE!</v>
      </c>
      <c r="B85" s="4" t="s">
        <v>30</v>
      </c>
    </row>
    <row r="86" spans="1:2">
      <c r="A86" s="176" t="e" cm="1">
        <f t="array" ref="A86">_xll.DBR($A$3,Summary!$S$6,$A$13,Summary!$M$6,$A$24,$A$31,$A$36,"EBITDA","Total Value")</f>
        <v>#VALUE!</v>
      </c>
      <c r="B86" s="4" t="s">
        <v>31</v>
      </c>
    </row>
    <row r="87" spans="1:2">
      <c r="A87" s="48" t="e" cm="1">
        <f t="array" ref="A87">_xll.DBR($A$3,Summary!$S$6,$A$13,Summary!$M$6,$A$24,$A$31,$A$36,B87,"Total Value")</f>
        <v>#VALUE!</v>
      </c>
      <c r="B87" t="s">
        <v>32</v>
      </c>
    </row>
    <row r="88" spans="1:2">
      <c r="A88" s="177">
        <f>IFERROR((A86-A87)/A87,0)</f>
        <v>0</v>
      </c>
    </row>
    <row r="89" spans="1:2">
      <c r="A89" s="48"/>
    </row>
    <row r="90" spans="1:2">
      <c r="A90" s="175" t="s">
        <v>21</v>
      </c>
      <c r="B90" s="6"/>
    </row>
    <row r="91" spans="1:2">
      <c r="A91" s="48" t="e" cm="1">
        <f t="array" ref="A91">_xll.DBR($A$3,Summary!$S$6,Summary!$U$6,Summary!$K$6,$A$25,$A$32,$A$36,"EBITDA","Total Value")</f>
        <v>#VALUE!</v>
      </c>
      <c r="B91" s="4" t="s">
        <v>30</v>
      </c>
    </row>
    <row r="92" spans="1:2">
      <c r="A92" s="48" t="e" cm="1">
        <f t="array" ref="A92">_xll.DBR($A$3,Summary!$S$6,Summary!$U$6,Summary!$M$6,$A$25,$A$32,$A$36,"EBITDA","Total Value")</f>
        <v>#VALUE!</v>
      </c>
      <c r="B92" s="4" t="s">
        <v>31</v>
      </c>
    </row>
    <row r="93" spans="1:2">
      <c r="A93" s="177">
        <f>IFERROR((#REF!-#REF!)/#REF!,0)</f>
        <v>0</v>
      </c>
    </row>
    <row r="94" spans="1:2">
      <c r="A94" s="176"/>
      <c r="B94" s="4"/>
    </row>
    <row r="95" spans="1:2">
      <c r="A95" s="175" t="s">
        <v>21</v>
      </c>
      <c r="B95" s="6"/>
    </row>
    <row r="96" spans="1:2">
      <c r="A96" s="176" t="e" cm="1">
        <f t="array" ref="A96">_xll.DBR($A$3,Summary!$S$6,$A$12,Summary!$K$6,$A$25,$A$32,$A$36,"EBITDA","Total Value")</f>
        <v>#VALUE!</v>
      </c>
      <c r="B96" s="4" t="s">
        <v>30</v>
      </c>
    </row>
    <row r="97" spans="1:2">
      <c r="A97" s="176" t="e" cm="1">
        <f t="array" ref="A97">_xll.DBR($A$3,Summary!$S$6,$A$12,Summary!$M$6,$A$25,$A$32,$A$36,"EBITDA","Total Value")</f>
        <v>#VALUE!</v>
      </c>
      <c r="B97" s="4" t="s">
        <v>31</v>
      </c>
    </row>
    <row r="98" spans="1:2">
      <c r="A98" s="177">
        <f>IFERROR((A96-A97)/A97,0)</f>
        <v>0</v>
      </c>
    </row>
    <row r="99" spans="1:2">
      <c r="A99" s="176"/>
      <c r="B99" s="4"/>
    </row>
    <row r="100" spans="1:2">
      <c r="A100" s="175" t="s">
        <v>21</v>
      </c>
      <c r="B100" s="4"/>
    </row>
    <row r="101" spans="1:2">
      <c r="A101" s="176" t="e" cm="1">
        <f t="array" ref="A101">_xll.DBR($A$3,Summary!$S$6,$A$13,Summary!$K$6,$A$25,$A$32,$A$36,"EBITDA","Total Value")</f>
        <v>#VALUE!</v>
      </c>
      <c r="B101" s="4" t="s">
        <v>30</v>
      </c>
    </row>
    <row r="102" spans="1:2">
      <c r="A102" s="176" t="e">
        <f>_xll.DBR($A$3,Summary!$S$6,$A$13,Summary!$M$6,$A$25,$A$32,$A$36,"EBITDA","Total Value")</f>
        <v>#VALUE!</v>
      </c>
      <c r="B102" s="4" t="s">
        <v>31</v>
      </c>
    </row>
    <row r="103" spans="1:2">
      <c r="A103" s="48" t="e" cm="1">
        <f t="array" ref="A103">_xll.DBR($A$3,Summary!$S$6,$A$13,Summary!$M$6,$A$25,$A$32,$A$36,B103,"Total Value")</f>
        <v>#VALUE!</v>
      </c>
      <c r="B103" t="s">
        <v>32</v>
      </c>
    </row>
    <row r="104" spans="1:2">
      <c r="A104" s="177">
        <f>IFERROR((A101-A102)/A102,0)</f>
        <v>0</v>
      </c>
    </row>
    <row r="105" spans="1:2">
      <c r="A105" s="48"/>
    </row>
    <row r="106" spans="1:2">
      <c r="A106" s="175" t="s">
        <v>22</v>
      </c>
      <c r="B106" s="6"/>
    </row>
    <row r="107" spans="1:2">
      <c r="A107" s="48" t="e" cm="1">
        <f t="array" ref="A107">_xll.DBR($A$3,Summary!$S$6,Summary!$U$6,Summary!$K$6,$A$24,$A$33,$A$36,"EBITDA","Total Value")</f>
        <v>#VALUE!</v>
      </c>
      <c r="B107" s="4" t="s">
        <v>30</v>
      </c>
    </row>
    <row r="108" spans="1:2">
      <c r="A108" s="48" t="e" cm="1">
        <f t="array" ref="A108">_xll.DBR($A$3,Summary!$S$6,Summary!$U$6,Summary!$M$6,$A$24,$A$33,$A$36,"EBITDA","Total Value")</f>
        <v>#VALUE!</v>
      </c>
      <c r="B108" s="4" t="s">
        <v>31</v>
      </c>
    </row>
    <row r="109" spans="1:2">
      <c r="A109" s="177">
        <f>IFERROR((#REF!-#REF!)/#REF!,0)</f>
        <v>0</v>
      </c>
    </row>
    <row r="110" spans="1:2">
      <c r="A110" s="176"/>
      <c r="B110" s="4"/>
    </row>
    <row r="111" spans="1:2">
      <c r="A111" s="175" t="s">
        <v>22</v>
      </c>
      <c r="B111" s="6"/>
    </row>
    <row r="112" spans="1:2">
      <c r="A112" s="176" t="e" cm="1">
        <f t="array" ref="A112">_xll.DBR($A$3,Summary!$S$6,$A$12,Summary!$K$6,$A$24,$A$33,$A$36,"EBITDA","Total Value")</f>
        <v>#VALUE!</v>
      </c>
      <c r="B112" s="4" t="s">
        <v>30</v>
      </c>
    </row>
    <row r="113" spans="1:2">
      <c r="A113" s="176" t="e" cm="1">
        <f t="array" ref="A113">_xll.DBR($A$3,Summary!$S$6,$A$12,Summary!$M$6,$A$24,$A$33,$A$36,"EBITDA","Total Value")</f>
        <v>#VALUE!</v>
      </c>
      <c r="B113" s="4" t="s">
        <v>31</v>
      </c>
    </row>
    <row r="114" spans="1:2">
      <c r="A114" s="177">
        <f>IFERROR((A112-A113)/A113,0)</f>
        <v>0</v>
      </c>
    </row>
    <row r="115" spans="1:2">
      <c r="A115" s="176"/>
      <c r="B115" s="4"/>
    </row>
    <row r="116" spans="1:2">
      <c r="A116" s="175" t="s">
        <v>22</v>
      </c>
      <c r="B116" s="4"/>
    </row>
    <row r="117" spans="1:2">
      <c r="A117" s="176" t="e" cm="1">
        <f t="array" ref="A117">_xll.DBR($A$3,Summary!$S$6,$A$13,Summary!$K$6,$A$24,$A$33,$A$36,"EBITDA","Total Value")</f>
        <v>#VALUE!</v>
      </c>
      <c r="B117" s="4" t="s">
        <v>30</v>
      </c>
    </row>
    <row r="118" spans="1:2">
      <c r="A118" s="176" t="e">
        <f>_xll.DBR($A$3,Summary!$S$6,$A$13,Summary!$M$6,$A$24,$A$33,$A$36,"EBITDA","Total Value")</f>
        <v>#VALUE!</v>
      </c>
      <c r="B118" s="4" t="s">
        <v>31</v>
      </c>
    </row>
    <row r="119" spans="1:2">
      <c r="A119" s="48" t="e" cm="1">
        <f t="array" ref="A119">_xll.DBR($A$3,Summary!$S$6,$A$13,Summary!$M$6,$A$24,$A$33,$A$36,B119,"Total Value")</f>
        <v>#VALUE!</v>
      </c>
      <c r="B119" t="s">
        <v>32</v>
      </c>
    </row>
    <row r="120" spans="1:2">
      <c r="A120" s="177">
        <f>IFERROR((A117-A118)/A118,0)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CF1-3F09-4226-BC45-7CD7A3EE5F13}">
  <sheetPr codeName="Planilha4"/>
  <dimension ref="B1:Z37"/>
  <sheetViews>
    <sheetView showGridLines="0" zoomScaleNormal="100" workbookViewId="0">
      <selection activeCell="Y21" sqref="Y21"/>
    </sheetView>
  </sheetViews>
  <sheetFormatPr defaultRowHeight="14.4"/>
  <cols>
    <col min="1" max="1" width="5.6640625" customWidth="1"/>
    <col min="2" max="2" width="4.21875" customWidth="1"/>
    <col min="3" max="3" width="9.5546875" customWidth="1"/>
  </cols>
  <sheetData>
    <row r="1" spans="2:26" ht="15.6" customHeight="1">
      <c r="B1" s="227" t="s">
        <v>115</v>
      </c>
      <c r="C1" s="227"/>
      <c r="D1" s="227"/>
      <c r="E1" s="227"/>
      <c r="F1" s="227"/>
      <c r="G1" s="227"/>
    </row>
    <row r="2" spans="2:26" ht="15.6" customHeight="1">
      <c r="B2" s="227"/>
      <c r="C2" s="227"/>
      <c r="D2" s="227"/>
      <c r="E2" s="227"/>
      <c r="F2" s="227"/>
      <c r="G2" s="227"/>
    </row>
    <row r="3" spans="2:26" ht="15.6" customHeight="1">
      <c r="D3" s="126"/>
    </row>
    <row r="4" spans="2:26" ht="6.6" customHeight="1">
      <c r="B4" s="89"/>
      <c r="C4" s="89"/>
      <c r="D4" s="92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2:26" ht="11.4" customHeight="1"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2:26" ht="22.2" customHeight="1">
      <c r="B6" s="90"/>
      <c r="C6" s="90"/>
      <c r="D6" s="228" t="e">
        <f>_xll.SUBNM("CONS_VC_PRD:ALL.D.Region","","Global")</f>
        <v>#N/A</v>
      </c>
      <c r="E6" s="228"/>
      <c r="F6" s="228"/>
      <c r="G6" s="228"/>
      <c r="H6" s="85"/>
      <c r="I6" s="85"/>
      <c r="J6" s="85"/>
      <c r="K6" s="113" t="e">
        <f>_xll.SUBNM("CONS_VC_PRD:ALL.D.Version","Sys.Report","L300","Descrição")</f>
        <v>#N/A</v>
      </c>
      <c r="L6" s="85"/>
      <c r="M6" s="113" t="e">
        <f>_xll.SUBNM("CONS_VC_PRD:ALL.D.Version",,"RF","Descrição")</f>
        <v>#N/A</v>
      </c>
      <c r="N6" s="85"/>
      <c r="O6" s="113" t="s">
        <v>23</v>
      </c>
      <c r="P6" s="85"/>
      <c r="Q6" s="85"/>
      <c r="R6" s="85"/>
      <c r="S6" s="113" t="e">
        <f>_xll.SUBNM("CONS_VC_PRD:ALL.D.Year","","2025")</f>
        <v>#N/A</v>
      </c>
      <c r="T6" s="85"/>
      <c r="U6" s="113" t="e">
        <f>_xll.SUBNM("CONS_VC_PRD:ALL.D.Month","sys_picklist","Jan","DESC")</f>
        <v>#N/A</v>
      </c>
      <c r="V6" s="85"/>
      <c r="W6" s="85"/>
      <c r="X6" s="85"/>
      <c r="Y6" s="85"/>
      <c r="Z6" s="85"/>
    </row>
    <row r="7" spans="2:26" ht="11.4" customHeight="1">
      <c r="B7" s="91"/>
      <c r="C7" s="91"/>
      <c r="D7" s="86"/>
      <c r="E7" s="87"/>
      <c r="F7" s="87"/>
      <c r="G7" s="87"/>
      <c r="H7" s="87"/>
      <c r="I7" s="87"/>
      <c r="J7" s="88"/>
      <c r="K7" s="91"/>
      <c r="L7" s="93"/>
      <c r="M7" s="91"/>
      <c r="N7" s="93"/>
      <c r="O7" s="91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2:26" ht="14.4" customHeight="1">
      <c r="D8" s="233" t="s">
        <v>0</v>
      </c>
      <c r="E8" s="233"/>
      <c r="J8" s="164"/>
    </row>
    <row r="9" spans="2:26" ht="13.2" customHeight="1">
      <c r="D9" s="233"/>
      <c r="E9" s="233"/>
      <c r="J9" s="163" t="s">
        <v>111</v>
      </c>
    </row>
    <row r="10" spans="2:26" ht="13.2" customHeight="1"/>
    <row r="11" spans="2:26" ht="13.2" customHeight="1"/>
    <row r="12" spans="2:26" ht="13.2" customHeight="1">
      <c r="F12" s="230" t="e">
        <f>'Summary  - Fx'!B47</f>
        <v>#VALUE!</v>
      </c>
      <c r="G12" s="230"/>
      <c r="H12" s="230"/>
    </row>
    <row r="13" spans="2:26" ht="13.2" customHeight="1"/>
    <row r="14" spans="2:26" ht="13.2" customHeight="1">
      <c r="G14" s="229" t="str">
        <f>'Summary  - Fx'!A48</f>
        <v>0% vs. Budget</v>
      </c>
      <c r="H14" s="229"/>
    </row>
    <row r="15" spans="2:26" ht="13.2" customHeight="1">
      <c r="J15" s="163" t="s">
        <v>114</v>
      </c>
    </row>
    <row r="16" spans="2:26" ht="13.2" customHeight="1"/>
    <row r="17" spans="4:10" ht="13.2" customHeight="1">
      <c r="D17" s="233" t="s">
        <v>24</v>
      </c>
      <c r="E17" s="233"/>
    </row>
    <row r="18" spans="4:10" ht="13.2" customHeight="1">
      <c r="D18" s="233"/>
      <c r="E18" s="233"/>
    </row>
    <row r="19" spans="4:10" ht="13.2" customHeight="1"/>
    <row r="20" spans="4:10" ht="13.2" customHeight="1"/>
    <row r="21" spans="4:10" ht="13.2" customHeight="1"/>
    <row r="22" spans="4:10" ht="13.2" customHeight="1">
      <c r="F22" s="231" t="e">
        <f>'Summary  - Fx'!B51</f>
        <v>#VALUE!</v>
      </c>
      <c r="G22" s="231"/>
      <c r="H22" s="231"/>
      <c r="J22" s="163" t="s">
        <v>113</v>
      </c>
    </row>
    <row r="23" spans="4:10" ht="13.2" customHeight="1"/>
    <row r="24" spans="4:10" ht="13.2" customHeight="1">
      <c r="G24" s="229" t="str">
        <f>'Summary  - Fx'!A52</f>
        <v>0% vs. Budget</v>
      </c>
      <c r="H24" s="229"/>
    </row>
    <row r="25" spans="4:10" ht="13.2" customHeight="1"/>
    <row r="26" spans="4:10" ht="13.2" customHeight="1"/>
    <row r="27" spans="4:10" ht="13.2" customHeight="1"/>
    <row r="28" spans="4:10" ht="13.2" customHeight="1"/>
    <row r="29" spans="4:10" ht="13.2" customHeight="1">
      <c r="D29" s="233" t="s">
        <v>27</v>
      </c>
      <c r="E29" s="233"/>
    </row>
    <row r="30" spans="4:10" ht="13.2" customHeight="1">
      <c r="D30" s="233"/>
      <c r="E30" s="233"/>
      <c r="J30" s="163" t="s">
        <v>112</v>
      </c>
    </row>
    <row r="31" spans="4:10" ht="13.2" customHeight="1"/>
    <row r="32" spans="4:10" ht="13.2" customHeight="1"/>
    <row r="33" spans="6:8" ht="13.2" customHeight="1"/>
    <row r="34" spans="6:8" ht="13.2" customHeight="1"/>
    <row r="35" spans="6:8" ht="13.2" customHeight="1">
      <c r="F35" s="232" t="e">
        <f>'Summary  - Fx'!B55</f>
        <v>#VALUE!</v>
      </c>
      <c r="G35" s="232"/>
      <c r="H35" s="232"/>
    </row>
    <row r="37" spans="6:8">
      <c r="G37" s="229" t="str">
        <f>'Summary  - Fx'!A56</f>
        <v>0% vs. Budget</v>
      </c>
      <c r="H37" s="229"/>
    </row>
  </sheetData>
  <mergeCells count="11">
    <mergeCell ref="B1:G2"/>
    <mergeCell ref="D6:G6"/>
    <mergeCell ref="G14:H14"/>
    <mergeCell ref="G24:H24"/>
    <mergeCell ref="G37:H37"/>
    <mergeCell ref="F12:H12"/>
    <mergeCell ref="F22:H22"/>
    <mergeCell ref="F35:H35"/>
    <mergeCell ref="D8:E9"/>
    <mergeCell ref="D17:E18"/>
    <mergeCell ref="D29:E30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191F-8DD0-42DE-8271-C165B3F3D2E4}">
  <sheetPr codeName="Planilha5"/>
  <dimension ref="A1:N37"/>
  <sheetViews>
    <sheetView showGridLines="0" zoomScale="90" zoomScaleNormal="90" workbookViewId="0">
      <selection activeCell="A2" sqref="A2"/>
    </sheetView>
  </sheetViews>
  <sheetFormatPr defaultRowHeight="14.4"/>
  <cols>
    <col min="1" max="1" width="20.5546875" customWidth="1"/>
    <col min="2" max="15" width="11.44140625" customWidth="1"/>
  </cols>
  <sheetData>
    <row r="1" spans="1:14">
      <c r="A1" t="s">
        <v>6</v>
      </c>
      <c r="C1" s="8"/>
    </row>
    <row r="2" spans="1:14">
      <c r="A2" s="11" t="e">
        <f>'Cement Volumes &amp; Prices'!$T$6</f>
        <v>#N/A</v>
      </c>
      <c r="B2" s="9"/>
    </row>
    <row r="3" spans="1:14">
      <c r="B3" s="9"/>
    </row>
    <row r="4" spans="1:14">
      <c r="A4" s="11" t="str">
        <f>_xll.SUBNM("CONS_VC:ALL.D.Market","","Total Market")</f>
        <v>Total Market</v>
      </c>
      <c r="B4" s="9"/>
    </row>
    <row r="6" spans="1:14">
      <c r="A6" t="str">
        <f>_xll.SUBNM("CONS_VC:ALL.D.Currency","Default","BRL","MEMBER_NAME")</f>
        <v>BRL</v>
      </c>
      <c r="C6" s="9" t="s">
        <v>40</v>
      </c>
      <c r="D6" s="9" t="s">
        <v>42</v>
      </c>
      <c r="E6" s="9" t="s">
        <v>41</v>
      </c>
      <c r="F6" s="9" t="s">
        <v>43</v>
      </c>
      <c r="G6" s="9" t="s">
        <v>44</v>
      </c>
      <c r="H6" s="9" t="s">
        <v>45</v>
      </c>
      <c r="I6" s="9" t="s">
        <v>51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50</v>
      </c>
    </row>
    <row r="7" spans="1:14">
      <c r="A7" t="str">
        <f>_xll.SUBNM("CONS_VC:ALL.D.Region","Default","VCBR","MEMBER_NAME")</f>
        <v>VCBR</v>
      </c>
      <c r="B7" s="10" t="e">
        <f>'Cement Volumes &amp; Prices'!$V$6</f>
        <v>#N/A</v>
      </c>
      <c r="C7" s="48" t="e">
        <f>_xll.DBRW($A$1,$A$2,C$6,$B7,$A6,$A7,'Cement Volumes &amp; Prices'!$D$6,$A$4,$A8)</f>
        <v>#VALUE!</v>
      </c>
      <c r="D7" s="48" t="e">
        <f>_xll.DBRW($A$1,$A$2,D$6,$B7,$A6,$A7,'Cement Volumes &amp; Prices'!$D$6,$A$4,$A8)</f>
        <v>#VALUE!</v>
      </c>
      <c r="E7" s="48" t="e">
        <f>_xll.DBRW($A$1,$A$2,E$6,$B7,$A6,$A7,'Cement Volumes &amp; Prices'!$D$6,$A$4,$A8)</f>
        <v>#VALUE!</v>
      </c>
      <c r="F7" s="48" t="e">
        <f>_xll.DBRW($A$1,$A$2,F$6,$B7,$A6,$A7,'Cement Volumes &amp; Prices'!$D$6,$A$4,$A8)</f>
        <v>#VALUE!</v>
      </c>
      <c r="G7" s="48" t="e">
        <f>_xll.DBRW($A$1,$A$2,G$6,$B7,$A6,$A7,'Cement Volumes &amp; Prices'!$D$6,$A$4,$A8)</f>
        <v>#VALUE!</v>
      </c>
      <c r="H7" s="48" t="e">
        <f>_xll.DBRW($A$1,$A$2,H$6,$B7,$A6,$A7,'Cement Volumes &amp; Prices'!$D$6,$A$4,$A8)</f>
        <v>#VALUE!</v>
      </c>
      <c r="I7" s="48" t="e">
        <f>_xll.DBRW($A$1,$A$2,I$6,$B7,$A6,$A7,'Cement Volumes &amp; Prices'!$D$6,$A$4,$A8)</f>
        <v>#VALUE!</v>
      </c>
      <c r="J7" s="48" t="e">
        <f>_xll.DBRW($A$1,$A$2,J$6,$B7,$A6,$A7,'Cement Volumes &amp; Prices'!$D$6,$A$4,$A8)</f>
        <v>#VALUE!</v>
      </c>
      <c r="K7" s="48" t="e">
        <f>_xll.DBRW($A$1,$A$2,K$6,$B7,$A6,$A7,'Cement Volumes &amp; Prices'!$D$6,$A$4,$A8)</f>
        <v>#VALUE!</v>
      </c>
      <c r="L7" s="48" t="e">
        <f>_xll.DBRW($A$1,$A$2,L$6,$B7,$A6,$A7,'Cement Volumes &amp; Prices'!$D$6,$A$4,$A8)</f>
        <v>#VALUE!</v>
      </c>
      <c r="M7" s="48" t="e">
        <f>_xll.DBRW($A$1,$A$2,M$6,$B7,$A6,$A7,'Cement Volumes &amp; Prices'!$D$6,$A$4,$A8)</f>
        <v>#VALUE!</v>
      </c>
      <c r="N7" s="48" t="e">
        <f>_xll.DBRW($A$1,$A$2,N$6,$B7,$A6,$A7,'Cement Volumes &amp; Prices'!$D$6,$A$4,$A8)</f>
        <v>#VALUE!</v>
      </c>
    </row>
    <row r="8" spans="1:14">
      <c r="A8" t="str">
        <f>_xll.SUBNM("CONS_VC:REV.M.100.Revenue_Consolidated","Default","Sales Volume [kt]")</f>
        <v>Sales Volume [kt]</v>
      </c>
      <c r="B8" s="10" t="e">
        <f>'Cement Volumes &amp; Prices'!$X$6</f>
        <v>#N/A</v>
      </c>
      <c r="C8" s="48" t="e">
        <f>_xll.DBRW($A$1,$A$2,C$6,$B8,$A6,$A7,'Cement Volumes &amp; Prices'!$D$6,$A$4,$A8)</f>
        <v>#VALUE!</v>
      </c>
      <c r="D8" s="48" t="e">
        <f>_xll.DBRW($A$1,$A$2,D$6,$B8,$A6,$A7,'Cement Volumes &amp; Prices'!$D$6,$A$4,$A8)</f>
        <v>#VALUE!</v>
      </c>
      <c r="E8" s="48" t="e">
        <f>_xll.DBRW($A$1,$A$2,E$6,$B8,$A6,$A7,'Cement Volumes &amp; Prices'!$D$6,$A$4,$A8)</f>
        <v>#VALUE!</v>
      </c>
      <c r="F8" s="48" t="e">
        <f>_xll.DBRW($A$1,$A$2,F$6,$B8,$A6,$A7,'Cement Volumes &amp; Prices'!$D$6,$A$4,$A8)</f>
        <v>#VALUE!</v>
      </c>
      <c r="G8" s="48" t="e">
        <f>_xll.DBRW($A$1,$A$2,G$6,$B8,$A6,$A7,'Cement Volumes &amp; Prices'!$D$6,$A$4,$A8)</f>
        <v>#VALUE!</v>
      </c>
      <c r="H8" s="48" t="e">
        <f>_xll.DBRW($A$1,$A$2,H$6,$B8,$A6,$A7,'Cement Volumes &amp; Prices'!$D$6,$A$4,$A8)</f>
        <v>#VALUE!</v>
      </c>
      <c r="I8" s="48" t="e">
        <f>_xll.DBRW($A$1,$A$2,I$6,$B8,$A6,$A7,'Cement Volumes &amp; Prices'!$D$6,$A$4,$A8)</f>
        <v>#VALUE!</v>
      </c>
      <c r="J8" s="48" t="e">
        <f>_xll.DBRW($A$1,$A$2,J$6,$B8,$A6,$A7,'Cement Volumes &amp; Prices'!$D$6,$A$4,$A8)</f>
        <v>#VALUE!</v>
      </c>
      <c r="K8" s="48" t="e">
        <f>_xll.DBRW($A$1,$A$2,K$6,$B8,$A6,$A7,'Cement Volumes &amp; Prices'!$D$6,$A$4,$A8)</f>
        <v>#VALUE!</v>
      </c>
      <c r="L8" s="48" t="e">
        <f>_xll.DBRW($A$1,$A$2,L$6,$B8,$A6,$A7,'Cement Volumes &amp; Prices'!$D$6,$A$4,$A8)</f>
        <v>#VALUE!</v>
      </c>
      <c r="M8" s="48" t="e">
        <f>_xll.DBRW($A$1,$A$2,M$6,$B8,$A6,$A7,'Cement Volumes &amp; Prices'!$D$6,$A$4,$A8)</f>
        <v>#VALUE!</v>
      </c>
      <c r="N8" s="48" t="e">
        <f>_xll.DBRW($A$1,$A$2,N$6,$B8,$A6,$A7,'Cement Volumes &amp; Prices'!$D$6,$A$4,$A8)</f>
        <v>#VALUE!</v>
      </c>
    </row>
    <row r="10" spans="1:14">
      <c r="A10" t="str">
        <f>_xll.SUBNM("CONS_VC:ALL.D.Currency","Default","USD","MEMBER_NAME")</f>
        <v>USD</v>
      </c>
      <c r="C10" s="9" t="s">
        <v>40</v>
      </c>
      <c r="D10" s="9" t="s">
        <v>42</v>
      </c>
      <c r="E10" s="9" t="s">
        <v>41</v>
      </c>
      <c r="F10" s="9" t="s">
        <v>43</v>
      </c>
      <c r="G10" s="9" t="s">
        <v>44</v>
      </c>
      <c r="H10" s="9" t="s">
        <v>45</v>
      </c>
      <c r="I10" s="9" t="s">
        <v>51</v>
      </c>
      <c r="J10" s="9" t="s">
        <v>46</v>
      </c>
      <c r="K10" s="9" t="s">
        <v>47</v>
      </c>
      <c r="L10" s="9" t="s">
        <v>48</v>
      </c>
      <c r="M10" s="9" t="s">
        <v>49</v>
      </c>
      <c r="N10" s="9" t="s">
        <v>50</v>
      </c>
    </row>
    <row r="11" spans="1:14">
      <c r="A11" t="str">
        <f>_xll.SUBNM("CONS_VC:ALL.D.Region","Default","VCNA","MEMBER_NAME")</f>
        <v>VCNA</v>
      </c>
      <c r="B11" s="10" t="e">
        <f>'Cement Volumes &amp; Prices'!$V$6</f>
        <v>#N/A</v>
      </c>
      <c r="C11" s="48" t="e">
        <f>_xll.DBRW($A$1,$A$2,C$6,$B11,$A10,$A11,'Cement Volumes &amp; Prices'!$D$6,$A$4,$A12)</f>
        <v>#VALUE!</v>
      </c>
      <c r="D11" s="48" t="e">
        <f>_xll.DBRW($A$1,$A$2,D$6,$B11,$A10,$A11,'Cement Volumes &amp; Prices'!$D$6,$A$4,$A12)</f>
        <v>#VALUE!</v>
      </c>
      <c r="E11" s="48" t="e">
        <f>_xll.DBRW($A$1,$A$2,E$6,$B11,$A10,$A11,'Cement Volumes &amp; Prices'!$D$6,$A$4,$A12)</f>
        <v>#VALUE!</v>
      </c>
      <c r="F11" s="48" t="e">
        <f>_xll.DBRW($A$1,$A$2,F$6,$B11,$A10,$A11,'Cement Volumes &amp; Prices'!$D$6,$A$4,$A12)</f>
        <v>#VALUE!</v>
      </c>
      <c r="G11" s="48" t="e">
        <f>_xll.DBRW($A$1,$A$2,G$6,$B11,$A10,$A11,'Cement Volumes &amp; Prices'!$D$6,$A$4,$A12)</f>
        <v>#VALUE!</v>
      </c>
      <c r="H11" s="48" t="e">
        <f>_xll.DBRW($A$1,$A$2,H$6,$B11,$A10,$A11,'Cement Volumes &amp; Prices'!$D$6,$A$4,$A12)</f>
        <v>#VALUE!</v>
      </c>
      <c r="I11" s="48" t="e">
        <f>_xll.DBRW($A$1,$A$2,I$6,$B11,$A10,$A11,'Cement Volumes &amp; Prices'!$D$6,$A$4,$A12)</f>
        <v>#VALUE!</v>
      </c>
      <c r="J11" s="48" t="e">
        <f>_xll.DBRW($A$1,$A$2,J$6,$B11,$A10,$A11,'Cement Volumes &amp; Prices'!$D$6,$A$4,$A12)</f>
        <v>#VALUE!</v>
      </c>
      <c r="K11" s="48" t="e">
        <f>_xll.DBRW($A$1,$A$2,K$6,$B11,$A10,$A11,'Cement Volumes &amp; Prices'!$D$6,$A$4,$A12)</f>
        <v>#VALUE!</v>
      </c>
      <c r="L11" s="48" t="e">
        <f>_xll.DBRW($A$1,$A$2,L$6,$B11,$A10,$A11,'Cement Volumes &amp; Prices'!$D$6,$A$4,$A12)</f>
        <v>#VALUE!</v>
      </c>
      <c r="M11" s="48" t="e">
        <f>_xll.DBRW($A$1,$A$2,M$6,$B11,$A10,$A11,'Cement Volumes &amp; Prices'!$D$6,$A$4,$A12)</f>
        <v>#VALUE!</v>
      </c>
      <c r="N11" s="48" t="e">
        <f>_xll.DBRW($A$1,$A$2,N$6,$B11,$A10,$A11,'Cement Volumes &amp; Prices'!$D$6,$A$4,$A12)</f>
        <v>#VALUE!</v>
      </c>
    </row>
    <row r="12" spans="1:14">
      <c r="A12" t="str">
        <f>_xll.SUBNM("CONS_VC:REV.M.100.Revenue_Consolidated","Default","Sales Volume [kt]")</f>
        <v>Sales Volume [kt]</v>
      </c>
      <c r="B12" s="10" t="e">
        <f>'Cement Volumes &amp; Prices'!$X$6</f>
        <v>#N/A</v>
      </c>
      <c r="C12" s="48" t="e">
        <f>_xll.DBRW($A$1,$A$2,C$6,$B12,$A10,$A11,'Cement Volumes &amp; Prices'!$D$6,$A$4,$A12)</f>
        <v>#VALUE!</v>
      </c>
      <c r="D12" s="48" t="e">
        <f>_xll.DBRW($A$1,$A$2,D$6,$B12,$A10,$A11,'Cement Volumes &amp; Prices'!$D$6,$A$4,$A12)</f>
        <v>#VALUE!</v>
      </c>
      <c r="E12" s="48" t="e">
        <f>_xll.DBRW($A$1,$A$2,E$6,$B12,$A10,$A11,'Cement Volumes &amp; Prices'!$D$6,$A$4,$A12)</f>
        <v>#VALUE!</v>
      </c>
      <c r="F12" s="48" t="e">
        <f>_xll.DBRW($A$1,$A$2,F$6,$B12,$A10,$A11,'Cement Volumes &amp; Prices'!$D$6,$A$4,$A12)</f>
        <v>#VALUE!</v>
      </c>
      <c r="G12" s="48" t="e">
        <f>_xll.DBRW($A$1,$A$2,G$6,$B12,$A10,$A11,'Cement Volumes &amp; Prices'!$D$6,$A$4,$A12)</f>
        <v>#VALUE!</v>
      </c>
      <c r="H12" s="48" t="e">
        <f>_xll.DBRW($A$1,$A$2,H$6,$B12,$A10,$A11,'Cement Volumes &amp; Prices'!$D$6,$A$4,$A12)</f>
        <v>#VALUE!</v>
      </c>
      <c r="I12" s="48" t="e">
        <f>_xll.DBRW($A$1,$A$2,I$6,$B12,$A10,$A11,'Cement Volumes &amp; Prices'!$D$6,$A$4,$A12)</f>
        <v>#VALUE!</v>
      </c>
      <c r="J12" s="48" t="e">
        <f>_xll.DBRW($A$1,$A$2,J$6,$B12,$A10,$A11,'Cement Volumes &amp; Prices'!$D$6,$A$4,$A12)</f>
        <v>#VALUE!</v>
      </c>
      <c r="K12" s="48" t="e">
        <f>_xll.DBRW($A$1,$A$2,K$6,$B12,$A10,$A11,'Cement Volumes &amp; Prices'!$D$6,$A$4,$A12)</f>
        <v>#VALUE!</v>
      </c>
      <c r="L12" s="48" t="e">
        <f>_xll.DBRW($A$1,$A$2,L$6,$B12,$A10,$A11,'Cement Volumes &amp; Prices'!$D$6,$A$4,$A12)</f>
        <v>#VALUE!</v>
      </c>
      <c r="M12" s="48" t="e">
        <f>_xll.DBRW($A$1,$A$2,M$6,$B12,$A10,$A11,'Cement Volumes &amp; Prices'!$D$6,$A$4,$A12)</f>
        <v>#VALUE!</v>
      </c>
      <c r="N12" s="48" t="e">
        <f>_xll.DBRW($A$1,$A$2,N$6,$B12,$A10,$A11,'Cement Volumes &amp; Prices'!$D$6,$A$4,$A12)</f>
        <v>#VALUE!</v>
      </c>
    </row>
    <row r="14" spans="1:14" ht="15" thickBot="1">
      <c r="A14" t="str">
        <f>_xll.SUBNM("CONS_VC:ALL.D.Currency","Default","EUR","MEMBER_NAME")</f>
        <v>EUR</v>
      </c>
      <c r="C14" s="13" t="s">
        <v>40</v>
      </c>
      <c r="D14" s="13" t="s">
        <v>42</v>
      </c>
      <c r="E14" s="13" t="s">
        <v>41</v>
      </c>
      <c r="F14" s="13" t="s">
        <v>43</v>
      </c>
      <c r="G14" s="13" t="s">
        <v>44</v>
      </c>
      <c r="H14" s="13" t="s">
        <v>45</v>
      </c>
      <c r="I14" s="13" t="s">
        <v>51</v>
      </c>
      <c r="J14" s="13" t="s">
        <v>46</v>
      </c>
      <c r="K14" s="13" t="s">
        <v>47</v>
      </c>
      <c r="L14" s="13" t="s">
        <v>48</v>
      </c>
      <c r="M14" s="13" t="s">
        <v>49</v>
      </c>
      <c r="N14" s="13" t="s">
        <v>50</v>
      </c>
    </row>
    <row r="15" spans="1:14">
      <c r="A15" t="str">
        <f>_xll.SUBNM("CONS_VC:ALL.D.Region","Default","VCEAA","MEMBER_NAME")</f>
        <v>VCEAA</v>
      </c>
      <c r="B15" s="10" t="e">
        <f>'Cement Volumes &amp; Prices'!$V$6</f>
        <v>#N/A</v>
      </c>
      <c r="C15" s="48" t="e">
        <f>_xll.DBRW($A$1,$A$2,C$6,$B15,$A14,$A15,'Cement Volumes &amp; Prices'!$D$6,$A$4,$A16)</f>
        <v>#VALUE!</v>
      </c>
      <c r="D15" s="48" t="e">
        <f>_xll.DBRW($A$1,$A$2,D$6,$B15,$A14,$A15,'Cement Volumes &amp; Prices'!$D$6,$A$4,$A16)</f>
        <v>#VALUE!</v>
      </c>
      <c r="E15" s="48" t="e">
        <f>_xll.DBRW($A$1,$A$2,E$6,$B15,$A14,$A15,'Cement Volumes &amp; Prices'!$D$6,$A$4,$A16)</f>
        <v>#VALUE!</v>
      </c>
      <c r="F15" s="48" t="e">
        <f>_xll.DBRW($A$1,$A$2,F$6,$B15,$A14,$A15,'Cement Volumes &amp; Prices'!$D$6,$A$4,$A16)</f>
        <v>#VALUE!</v>
      </c>
      <c r="G15" s="48" t="e">
        <f>_xll.DBRW($A$1,$A$2,G$6,$B15,$A14,$A15,'Cement Volumes &amp; Prices'!$D$6,$A$4,$A16)</f>
        <v>#VALUE!</v>
      </c>
      <c r="H15" s="48" t="e">
        <f>_xll.DBRW($A$1,$A$2,H$6,$B15,$A14,$A15,'Cement Volumes &amp; Prices'!$D$6,$A$4,$A16)</f>
        <v>#VALUE!</v>
      </c>
      <c r="I15" s="48" t="e">
        <f>_xll.DBRW($A$1,$A$2,I$6,$B15,$A14,$A15,'Cement Volumes &amp; Prices'!$D$6,$A$4,$A16)</f>
        <v>#VALUE!</v>
      </c>
      <c r="J15" s="48" t="e">
        <f>_xll.DBRW($A$1,$A$2,J$6,$B15,$A14,$A15,'Cement Volumes &amp; Prices'!$D$6,$A$4,$A16)</f>
        <v>#VALUE!</v>
      </c>
      <c r="K15" s="48" t="e">
        <f>_xll.DBRW($A$1,$A$2,K$6,$B15,$A14,$A15,'Cement Volumes &amp; Prices'!$D$6,$A$4,$A16)</f>
        <v>#VALUE!</v>
      </c>
      <c r="L15" s="48" t="e">
        <f>_xll.DBRW($A$1,$A$2,L$6,$B15,$A14,$A15,'Cement Volumes &amp; Prices'!$D$6,$A$4,$A16)</f>
        <v>#VALUE!</v>
      </c>
      <c r="M15" s="48" t="e">
        <f>_xll.DBRW($A$1,$A$2,M$6,$B15,$A14,$A15,'Cement Volumes &amp; Prices'!$D$6,$A$4,$A16)</f>
        <v>#VALUE!</v>
      </c>
      <c r="N15" s="48" t="e">
        <f>_xll.DBRW($A$1,$A$2,N$6,$B15,$A14,$A15,'Cement Volumes &amp; Prices'!$D$6,$A$4,$A16)</f>
        <v>#VALUE!</v>
      </c>
    </row>
    <row r="16" spans="1:14">
      <c r="A16" t="str">
        <f>_xll.SUBNM("CONS_VC:REV.M.100.Revenue_Consolidated","Default","Sales Volume [kt]")</f>
        <v>Sales Volume [kt]</v>
      </c>
      <c r="B16" s="10" t="e">
        <f>'Cement Volumes &amp; Prices'!$X$6</f>
        <v>#N/A</v>
      </c>
      <c r="C16" s="48" t="e">
        <f>_xll.DBRW($A$1,$A$2,C$6,$B16,$A14,$A15,'Cement Volumes &amp; Prices'!$D$6,$A$4,$A16)</f>
        <v>#VALUE!</v>
      </c>
      <c r="D16" s="48" t="e">
        <f>_xll.DBRW($A$1,$A$2,D$6,$B16,$A14,$A15,'Cement Volumes &amp; Prices'!$D$6,$A$4,$A16)</f>
        <v>#VALUE!</v>
      </c>
      <c r="E16" s="48" t="e">
        <f>_xll.DBRW($A$1,$A$2,E$6,$B16,$A14,$A15,'Cement Volumes &amp; Prices'!$D$6,$A$4,$A16)</f>
        <v>#VALUE!</v>
      </c>
      <c r="F16" s="48" t="e">
        <f>_xll.DBRW($A$1,$A$2,F$6,$B16,$A14,$A15,'Cement Volumes &amp; Prices'!$D$6,$A$4,$A16)</f>
        <v>#VALUE!</v>
      </c>
      <c r="G16" s="48" t="e">
        <f>_xll.DBRW($A$1,$A$2,G$6,$B16,$A14,$A15,'Cement Volumes &amp; Prices'!$D$6,$A$4,$A16)</f>
        <v>#VALUE!</v>
      </c>
      <c r="H16" s="48" t="e">
        <f>_xll.DBRW($A$1,$A$2,H$6,$B16,$A14,$A15,'Cement Volumes &amp; Prices'!$D$6,$A$4,$A16)</f>
        <v>#VALUE!</v>
      </c>
      <c r="I16" s="48" t="e">
        <f>_xll.DBRW($A$1,$A$2,I$6,$B16,$A14,$A15,'Cement Volumes &amp; Prices'!$D$6,$A$4,$A16)</f>
        <v>#VALUE!</v>
      </c>
      <c r="J16" s="48" t="e">
        <f>_xll.DBRW($A$1,$A$2,J$6,$B16,$A14,$A15,'Cement Volumes &amp; Prices'!$D$6,$A$4,$A16)</f>
        <v>#VALUE!</v>
      </c>
      <c r="K16" s="48" t="e">
        <f>_xll.DBRW($A$1,$A$2,K$6,$B16,$A14,$A15,'Cement Volumes &amp; Prices'!$D$6,$A$4,$A16)</f>
        <v>#VALUE!</v>
      </c>
      <c r="L16" s="48" t="e">
        <f>_xll.DBRW($A$1,$A$2,L$6,$B16,$A14,$A15,'Cement Volumes &amp; Prices'!$D$6,$A$4,$A16)</f>
        <v>#VALUE!</v>
      </c>
      <c r="M16" s="48" t="e">
        <f>_xll.DBRW($A$1,$A$2,M$6,$B16,$A14,$A15,'Cement Volumes &amp; Prices'!$D$6,$A$4,$A16)</f>
        <v>#VALUE!</v>
      </c>
      <c r="N16" s="48" t="e">
        <f>_xll.DBRW($A$1,$A$2,N$6,$B16,$A14,$A15,'Cement Volumes &amp; Prices'!$D$6,$A$4,$A16)</f>
        <v>#VALUE!</v>
      </c>
    </row>
    <row r="18" spans="1:14" ht="15" thickBot="1">
      <c r="A18" t="str">
        <f>_xll.SUBNM("CONS_VC:ALL.D.Currency","Default","USD","MEMBER_NAME")</f>
        <v>USD</v>
      </c>
      <c r="C18" s="13" t="s">
        <v>40</v>
      </c>
      <c r="D18" s="13" t="s">
        <v>42</v>
      </c>
      <c r="E18" s="13" t="s">
        <v>41</v>
      </c>
      <c r="F18" s="13" t="s">
        <v>43</v>
      </c>
      <c r="G18" s="13" t="s">
        <v>44</v>
      </c>
      <c r="H18" s="13" t="s">
        <v>45</v>
      </c>
      <c r="I18" s="13" t="s">
        <v>51</v>
      </c>
      <c r="J18" s="13" t="s">
        <v>46</v>
      </c>
      <c r="K18" s="13" t="s">
        <v>47</v>
      </c>
      <c r="L18" s="13" t="s">
        <v>48</v>
      </c>
      <c r="M18" s="13" t="s">
        <v>49</v>
      </c>
      <c r="N18" s="13" t="s">
        <v>50</v>
      </c>
    </row>
    <row r="19" spans="1:14">
      <c r="A19" t="str">
        <f>_xll.SUBNM("CONS_VC:ALL.D.Region","Default","VCLATAM Incl. AVEL","MEMBER_NAME")</f>
        <v>VCLATAM Incl. AVEL</v>
      </c>
      <c r="B19" s="10" t="e">
        <f>'Cement Volumes &amp; Prices'!$V$6</f>
        <v>#N/A</v>
      </c>
      <c r="C19" s="48" t="e">
        <f>_xll.DBRW($A$1,$A$2,C$6,$B19,$A18,$A19,'Cement Volumes &amp; Prices'!$D$6,$A$4,$A20)</f>
        <v>#VALUE!</v>
      </c>
      <c r="D19" s="48" t="e">
        <f>_xll.DBRW($A$1,$A$2,D$6,$B19,$A18,$A19,'Cement Volumes &amp; Prices'!$D$6,$A$4,$A20)</f>
        <v>#VALUE!</v>
      </c>
      <c r="E19" s="48" t="e">
        <f>_xll.DBRW($A$1,$A$2,E$6,$B19,$A18,$A19,'Cement Volumes &amp; Prices'!$D$6,$A$4,$A20)</f>
        <v>#VALUE!</v>
      </c>
      <c r="F19" s="48" t="e">
        <f>_xll.DBRW($A$1,$A$2,F$6,$B19,$A18,$A19,'Cement Volumes &amp; Prices'!$D$6,$A$4,$A20)</f>
        <v>#VALUE!</v>
      </c>
      <c r="G19" s="48" t="e">
        <f>_xll.DBRW($A$1,$A$2,G$6,$B19,$A18,$A19,'Cement Volumes &amp; Prices'!$D$6,$A$4,$A20)</f>
        <v>#VALUE!</v>
      </c>
      <c r="H19" s="48" t="e">
        <f>_xll.DBRW($A$1,$A$2,H$6,$B19,$A18,$A19,'Cement Volumes &amp; Prices'!$D$6,$A$4,$A20)</f>
        <v>#VALUE!</v>
      </c>
      <c r="I19" s="48" t="e">
        <f>_xll.DBRW($A$1,$A$2,I$6,$B19,$A18,$A19,'Cement Volumes &amp; Prices'!$D$6,$A$4,$A20)</f>
        <v>#VALUE!</v>
      </c>
      <c r="J19" s="48" t="e">
        <f>_xll.DBRW($A$1,$A$2,J$6,$B19,$A18,$A19,'Cement Volumes &amp; Prices'!$D$6,$A$4,$A20)</f>
        <v>#VALUE!</v>
      </c>
      <c r="K19" s="48" t="e">
        <f>_xll.DBRW($A$1,$A$2,K$6,$B19,$A18,$A19,'Cement Volumes &amp; Prices'!$D$6,$A$4,$A20)</f>
        <v>#VALUE!</v>
      </c>
      <c r="L19" s="48" t="e">
        <f>_xll.DBRW($A$1,$A$2,L$6,$B19,$A18,$A19,'Cement Volumes &amp; Prices'!$D$6,$A$4,$A20)</f>
        <v>#VALUE!</v>
      </c>
      <c r="M19" s="48" t="e">
        <f>_xll.DBRW($A$1,$A$2,M$6,$B19,$A18,$A19,'Cement Volumes &amp; Prices'!$D$6,$A$4,$A20)</f>
        <v>#VALUE!</v>
      </c>
      <c r="N19" s="48" t="e">
        <f>_xll.DBRW($A$1,$A$2,N$6,$B19,$A18,$A19,'Cement Volumes &amp; Prices'!$D$6,$A$4,$A20)</f>
        <v>#VALUE!</v>
      </c>
    </row>
    <row r="20" spans="1:14">
      <c r="A20" t="str">
        <f>_xll.SUBNM("CONS_VC:REV.M.100.Revenue_Consolidated","Default","Sales Volume [kt]")</f>
        <v>Sales Volume [kt]</v>
      </c>
      <c r="B20" s="10" t="e">
        <f>'Cement Volumes &amp; Prices'!$X$6</f>
        <v>#N/A</v>
      </c>
      <c r="C20" s="48" t="e">
        <f>_xll.DBRW($A$1,$A$2,C$6,$B20,$A18,$A19,'Cement Volumes &amp; Prices'!$D$6,$A$4,$A20)</f>
        <v>#VALUE!</v>
      </c>
      <c r="D20" s="48" t="e">
        <f>_xll.DBRW($A$1,$A$2,D$6,$B20,$A18,$A19,'Cement Volumes &amp; Prices'!$D$6,$A$4,$A20)</f>
        <v>#VALUE!</v>
      </c>
      <c r="E20" s="48" t="e">
        <f>_xll.DBRW($A$1,$A$2,E$6,$B20,$A18,$A19,'Cement Volumes &amp; Prices'!$D$6,$A$4,$A20)</f>
        <v>#VALUE!</v>
      </c>
      <c r="F20" s="48" t="e">
        <f>_xll.DBRW($A$1,$A$2,F$6,$B20,$A18,$A19,'Cement Volumes &amp; Prices'!$D$6,$A$4,$A20)</f>
        <v>#VALUE!</v>
      </c>
      <c r="G20" s="48" t="e">
        <f>_xll.DBRW($A$1,$A$2,G$6,$B20,$A18,$A19,'Cement Volumes &amp; Prices'!$D$6,$A$4,$A20)</f>
        <v>#VALUE!</v>
      </c>
      <c r="H20" s="48" t="e">
        <f>_xll.DBRW($A$1,$A$2,H$6,$B20,$A18,$A19,'Cement Volumes &amp; Prices'!$D$6,$A$4,$A20)</f>
        <v>#VALUE!</v>
      </c>
      <c r="I20" s="48" t="e">
        <f>_xll.DBRW($A$1,$A$2,I$6,$B20,$A18,$A19,'Cement Volumes &amp; Prices'!$D$6,$A$4,$A20)</f>
        <v>#VALUE!</v>
      </c>
      <c r="J20" s="48" t="e">
        <f>_xll.DBRW($A$1,$A$2,J$6,$B20,$A18,$A19,'Cement Volumes &amp; Prices'!$D$6,$A$4,$A20)</f>
        <v>#VALUE!</v>
      </c>
      <c r="K20" s="48" t="e">
        <f>_xll.DBRW($A$1,$A$2,K$6,$B20,$A18,$A19,'Cement Volumes &amp; Prices'!$D$6,$A$4,$A20)</f>
        <v>#VALUE!</v>
      </c>
      <c r="L20" s="48" t="e">
        <f>_xll.DBRW($A$1,$A$2,L$6,$B20,$A18,$A19,'Cement Volumes &amp; Prices'!$D$6,$A$4,$A20)</f>
        <v>#VALUE!</v>
      </c>
      <c r="M20" s="48" t="e">
        <f>_xll.DBRW($A$1,$A$2,M$6,$B20,$A18,$A19,'Cement Volumes &amp; Prices'!$D$6,$A$4,$A20)</f>
        <v>#VALUE!</v>
      </c>
      <c r="N20" s="48" t="e">
        <f>_xll.DBRW($A$1,$A$2,N$6,$B20,$A18,$A19,'Cement Volumes &amp; Prices'!$D$6,$A$4,$A20)</f>
        <v>#VALUE!</v>
      </c>
    </row>
    <row r="23" spans="1:14">
      <c r="A23" t="str">
        <f>_xll.SUBNM("CONS_VC:ALL.D.Currency","Default","BRL","MEMBER_NAME")</f>
        <v>BRL</v>
      </c>
      <c r="C23" s="9" t="s">
        <v>40</v>
      </c>
      <c r="D23" s="9" t="s">
        <v>42</v>
      </c>
      <c r="E23" s="9" t="s">
        <v>41</v>
      </c>
      <c r="F23" s="9" t="s">
        <v>43</v>
      </c>
      <c r="G23" s="9" t="s">
        <v>44</v>
      </c>
      <c r="H23" s="9" t="s">
        <v>45</v>
      </c>
      <c r="I23" s="9" t="s">
        <v>51</v>
      </c>
      <c r="J23" s="9" t="s">
        <v>46</v>
      </c>
      <c r="K23" s="9" t="s">
        <v>47</v>
      </c>
      <c r="L23" s="9" t="s">
        <v>48</v>
      </c>
      <c r="M23" s="9" t="s">
        <v>49</v>
      </c>
      <c r="N23" s="9" t="s">
        <v>50</v>
      </c>
    </row>
    <row r="24" spans="1:14">
      <c r="A24" t="str">
        <f>_xll.SUBNM("CONS_VC:ALL.D.Region","Default","VCBR","MEMBER_NAME")</f>
        <v>VCBR</v>
      </c>
      <c r="B24" s="10" t="e">
        <f>'Cement Volumes &amp; Prices'!$V$6</f>
        <v>#N/A</v>
      </c>
      <c r="C24" s="48" t="e">
        <f>_xll.DBRW($A$1,$A$2,C$6,$B24,$A23,$A24,'Cement Volumes &amp; Prices'!$D$6,$A$4,$A25)</f>
        <v>#VALUE!</v>
      </c>
      <c r="D24" s="48" t="e">
        <f>_xll.DBRW($A$1,$A$2,D$6,$B24,$A23,$A24,'Cement Volumes &amp; Prices'!$D$6,$A$4,$A25)</f>
        <v>#VALUE!</v>
      </c>
      <c r="E24" s="48" t="e">
        <f>_xll.DBRW($A$1,$A$2,E$6,$B24,$A23,$A24,'Cement Volumes &amp; Prices'!$D$6,$A$4,$A25)</f>
        <v>#VALUE!</v>
      </c>
      <c r="F24" s="48" t="e">
        <f>_xll.DBRW($A$1,$A$2,F$6,$B24,$A23,$A24,'Cement Volumes &amp; Prices'!$D$6,$A$4,$A25)</f>
        <v>#VALUE!</v>
      </c>
      <c r="G24" s="48" t="e">
        <f>_xll.DBRW($A$1,$A$2,G$6,$B24,$A23,$A24,'Cement Volumes &amp; Prices'!$D$6,$A$4,$A25)</f>
        <v>#VALUE!</v>
      </c>
      <c r="H24" s="48" t="e">
        <f>_xll.DBRW($A$1,$A$2,H$6,$B24,$A23,$A24,'Cement Volumes &amp; Prices'!$D$6,$A$4,$A25)</f>
        <v>#VALUE!</v>
      </c>
      <c r="I24" s="48" t="e">
        <f>_xll.DBRW($A$1,$A$2,I$6,$B24,$A23,$A24,'Cement Volumes &amp; Prices'!$D$6,$A$4,$A25)</f>
        <v>#VALUE!</v>
      </c>
      <c r="J24" s="48" t="e">
        <f>_xll.DBRW($A$1,$A$2,J$6,$B24,$A23,$A24,'Cement Volumes &amp; Prices'!$D$6,$A$4,$A25)</f>
        <v>#VALUE!</v>
      </c>
      <c r="K24" s="48" t="e">
        <f>_xll.DBRW($A$1,$A$2,K$6,$B24,$A23,$A24,'Cement Volumes &amp; Prices'!$D$6,$A$4,$A25)</f>
        <v>#VALUE!</v>
      </c>
      <c r="L24" s="48" t="e">
        <f>_xll.DBRW($A$1,$A$2,L$6,$B24,$A23,$A24,'Cement Volumes &amp; Prices'!$D$6,$A$4,$A25)</f>
        <v>#VALUE!</v>
      </c>
      <c r="M24" s="48" t="e">
        <f>_xll.DBRW($A$1,$A$2,M$6,$B24,$A23,$A24,'Cement Volumes &amp; Prices'!$D$6,$A$4,$A25)</f>
        <v>#VALUE!</v>
      </c>
      <c r="N24" s="48" t="e">
        <f>_xll.DBRW($A$1,$A$2,N$6,$B24,$A23,$A24,'Cement Volumes &amp; Prices'!$D$6,$A$4,$A25)</f>
        <v>#VALUE!</v>
      </c>
    </row>
    <row r="25" spans="1:14">
      <c r="A25" t="str">
        <f>_xll.SUBNM("CONS_VC:REV.M.100.Revenue_Consolidated","Default","Price Premium [$/ton]")</f>
        <v>Price Premium [$/ton]</v>
      </c>
      <c r="B25" s="10" t="e">
        <f>'Cement Volumes &amp; Prices'!$X$6</f>
        <v>#N/A</v>
      </c>
      <c r="C25" s="48" t="e">
        <f>_xll.DBRW($A$1,$A$2,C$6,$B25,$A23,$A24,'Cement Volumes &amp; Prices'!$D$6,$A$4,$A25)</f>
        <v>#VALUE!</v>
      </c>
      <c r="D25" s="48" t="e">
        <f>_xll.DBRW($A$1,$A$2,D$6,$B25,$A23,$A24,'Cement Volumes &amp; Prices'!$D$6,$A$4,$A25)</f>
        <v>#VALUE!</v>
      </c>
      <c r="E25" s="48" t="e">
        <f>_xll.DBRW($A$1,$A$2,E$6,$B25,$A23,$A24,'Cement Volumes &amp; Prices'!$D$6,$A$4,$A25)</f>
        <v>#VALUE!</v>
      </c>
      <c r="F25" s="48" t="e">
        <f>_xll.DBRW($A$1,$A$2,F$6,$B25,$A23,$A24,'Cement Volumes &amp; Prices'!$D$6,$A$4,$A25)</f>
        <v>#VALUE!</v>
      </c>
      <c r="G25" s="48" t="e">
        <f>_xll.DBRW($A$1,$A$2,G$6,$B25,$A23,$A24,'Cement Volumes &amp; Prices'!$D$6,$A$4,$A25)</f>
        <v>#VALUE!</v>
      </c>
      <c r="H25" s="48" t="e">
        <f>_xll.DBRW($A$1,$A$2,H$6,$B25,$A23,$A24,'Cement Volumes &amp; Prices'!$D$6,$A$4,$A25)</f>
        <v>#VALUE!</v>
      </c>
      <c r="I25" s="48" t="e">
        <f>_xll.DBRW($A$1,$A$2,I$6,$B25,$A23,$A24,'Cement Volumes &amp; Prices'!$D$6,$A$4,$A25)</f>
        <v>#VALUE!</v>
      </c>
      <c r="J25" s="48" t="e">
        <f>_xll.DBRW($A$1,$A$2,J$6,$B25,$A23,$A24,'Cement Volumes &amp; Prices'!$D$6,$A$4,$A25)</f>
        <v>#VALUE!</v>
      </c>
      <c r="K25" s="48" t="e">
        <f>_xll.DBRW($A$1,$A$2,K$6,$B25,$A23,$A24,'Cement Volumes &amp; Prices'!$D$6,$A$4,$A25)</f>
        <v>#VALUE!</v>
      </c>
      <c r="L25" s="48" t="e">
        <f>_xll.DBRW($A$1,$A$2,L$6,$B25,$A23,$A24,'Cement Volumes &amp; Prices'!$D$6,$A$4,$A25)</f>
        <v>#VALUE!</v>
      </c>
      <c r="M25" s="48" t="e">
        <f>_xll.DBRW($A$1,$A$2,M$6,$B25,$A23,$A24,'Cement Volumes &amp; Prices'!$D$6,$A$4,$A25)</f>
        <v>#VALUE!</v>
      </c>
      <c r="N25" s="48" t="e">
        <f>_xll.DBRW($A$1,$A$2,N$6,$B25,$A23,$A24,'Cement Volumes &amp; Prices'!$D$6,$A$4,$A25)</f>
        <v>#VALUE!</v>
      </c>
    </row>
    <row r="27" spans="1:14">
      <c r="A27" t="str">
        <f>_xll.SUBNM("CONS_VC:ALL.D.Currency","Default","USD","MEMBER_NAME")</f>
        <v>USD</v>
      </c>
      <c r="C27" s="9" t="s">
        <v>40</v>
      </c>
      <c r="D27" s="9" t="s">
        <v>42</v>
      </c>
      <c r="E27" s="9" t="s">
        <v>41</v>
      </c>
      <c r="F27" s="9" t="s">
        <v>43</v>
      </c>
      <c r="G27" s="9" t="s">
        <v>44</v>
      </c>
      <c r="H27" s="9" t="s">
        <v>45</v>
      </c>
      <c r="I27" s="9" t="s">
        <v>51</v>
      </c>
      <c r="J27" s="9" t="s">
        <v>46</v>
      </c>
      <c r="K27" s="9" t="s">
        <v>47</v>
      </c>
      <c r="L27" s="9" t="s">
        <v>48</v>
      </c>
      <c r="M27" s="9" t="s">
        <v>49</v>
      </c>
      <c r="N27" s="9" t="s">
        <v>50</v>
      </c>
    </row>
    <row r="28" spans="1:14">
      <c r="A28" t="str">
        <f>_xll.SUBNM("CONS_VC:ALL.D.Region","Default","VCNA","MEMBER_NAME")</f>
        <v>VCNA</v>
      </c>
      <c r="B28" s="10" t="e">
        <f>'Cement Volumes &amp; Prices'!$V$6</f>
        <v>#N/A</v>
      </c>
      <c r="C28" s="48" t="e">
        <f>_xll.DBRW($A$1,$A$2,C$6,$B28,$A27,$A28,'Cement Volumes &amp; Prices'!$D$6,$A$4,$A29)</f>
        <v>#VALUE!</v>
      </c>
      <c r="D28" s="48" t="e">
        <f>_xll.DBRW($A$1,$A$2,D$6,$B28,$A27,$A28,'Cement Volumes &amp; Prices'!$D$6,$A$4,$A29)</f>
        <v>#VALUE!</v>
      </c>
      <c r="E28" s="48" t="e">
        <f>_xll.DBRW($A$1,$A$2,E$6,$B28,$A27,$A28,'Cement Volumes &amp; Prices'!$D$6,$A$4,$A29)</f>
        <v>#VALUE!</v>
      </c>
      <c r="F28" s="48" t="e">
        <f>_xll.DBRW($A$1,$A$2,F$6,$B28,$A27,$A28,'Cement Volumes &amp; Prices'!$D$6,$A$4,$A29)</f>
        <v>#VALUE!</v>
      </c>
      <c r="G28" s="48" t="e">
        <f>_xll.DBRW($A$1,$A$2,G$6,$B28,$A27,$A28,'Cement Volumes &amp; Prices'!$D$6,$A$4,$A29)</f>
        <v>#VALUE!</v>
      </c>
      <c r="H28" s="48" t="e">
        <f>_xll.DBRW($A$1,$A$2,H$6,$B28,$A27,$A28,'Cement Volumes &amp; Prices'!$D$6,$A$4,$A29)</f>
        <v>#VALUE!</v>
      </c>
      <c r="I28" s="48" t="e">
        <f>_xll.DBRW($A$1,$A$2,I$6,$B28,$A27,$A28,'Cement Volumes &amp; Prices'!$D$6,$A$4,$A29)</f>
        <v>#VALUE!</v>
      </c>
      <c r="J28" s="48" t="e">
        <f>_xll.DBRW($A$1,$A$2,J$6,$B28,$A27,$A28,'Cement Volumes &amp; Prices'!$D$6,$A$4,$A29)</f>
        <v>#VALUE!</v>
      </c>
      <c r="K28" s="48" t="e">
        <f>_xll.DBRW($A$1,$A$2,K$6,$B28,$A27,$A28,'Cement Volumes &amp; Prices'!$D$6,$A$4,$A29)</f>
        <v>#VALUE!</v>
      </c>
      <c r="L28" s="48" t="e">
        <f>_xll.DBRW($A$1,$A$2,L$6,$B28,$A27,$A28,'Cement Volumes &amp; Prices'!$D$6,$A$4,$A29)</f>
        <v>#VALUE!</v>
      </c>
      <c r="M28" s="48" t="e">
        <f>_xll.DBRW($A$1,$A$2,M$6,$B28,$A27,$A28,'Cement Volumes &amp; Prices'!$D$6,$A$4,$A29)</f>
        <v>#VALUE!</v>
      </c>
      <c r="N28" s="48" t="e">
        <f>_xll.DBRW($A$1,$A$2,N$6,$B28,$A27,$A28,'Cement Volumes &amp; Prices'!$D$6,$A$4,$A29)</f>
        <v>#VALUE!</v>
      </c>
    </row>
    <row r="29" spans="1:14">
      <c r="A29" s="12" t="str">
        <f>_xll.SUBNM("CONS_VC:REV.M.100.Revenue_Consolidated","Default","Price Premium [$/ton]")</f>
        <v>Price Premium [$/ton]</v>
      </c>
      <c r="B29" s="10" t="e">
        <f>'Cement Volumes &amp; Prices'!$X$6</f>
        <v>#N/A</v>
      </c>
      <c r="C29" s="48" t="e">
        <f>_xll.DBRW($A$1,$A$2,C$6,$B29,$A27,$A28,'Cement Volumes &amp; Prices'!$D$6,$A$4,$A29)</f>
        <v>#VALUE!</v>
      </c>
      <c r="D29" s="48" t="e">
        <f>_xll.DBRW($A$1,$A$2,D$6,$B29,$A27,$A28,'Cement Volumes &amp; Prices'!$D$6,$A$4,$A29)</f>
        <v>#VALUE!</v>
      </c>
      <c r="E29" s="48" t="e">
        <f>_xll.DBRW($A$1,$A$2,E$6,$B29,$A27,$A28,'Cement Volumes &amp; Prices'!$D$6,$A$4,$A29)</f>
        <v>#VALUE!</v>
      </c>
      <c r="F29" s="48" t="e">
        <f>_xll.DBRW($A$1,$A$2,F$6,$B29,$A27,$A28,'Cement Volumes &amp; Prices'!$D$6,$A$4,$A29)</f>
        <v>#VALUE!</v>
      </c>
      <c r="G29" s="48" t="e">
        <f>_xll.DBRW($A$1,$A$2,G$6,$B29,$A27,$A28,'Cement Volumes &amp; Prices'!$D$6,$A$4,$A29)</f>
        <v>#VALUE!</v>
      </c>
      <c r="H29" s="48" t="e">
        <f>_xll.DBRW($A$1,$A$2,H$6,$B29,$A27,$A28,'Cement Volumes &amp; Prices'!$D$6,$A$4,$A29)</f>
        <v>#VALUE!</v>
      </c>
      <c r="I29" s="48" t="e">
        <f>_xll.DBRW($A$1,$A$2,I$6,$B29,$A27,$A28,'Cement Volumes &amp; Prices'!$D$6,$A$4,$A29)</f>
        <v>#VALUE!</v>
      </c>
      <c r="J29" s="48" t="e">
        <f>_xll.DBRW($A$1,$A$2,J$6,$B29,$A27,$A28,'Cement Volumes &amp; Prices'!$D$6,$A$4,$A29)</f>
        <v>#VALUE!</v>
      </c>
      <c r="K29" s="48" t="e">
        <f>_xll.DBRW($A$1,$A$2,K$6,$B29,$A27,$A28,'Cement Volumes &amp; Prices'!$D$6,$A$4,$A29)</f>
        <v>#VALUE!</v>
      </c>
      <c r="L29" s="48" t="e">
        <f>_xll.DBRW($A$1,$A$2,L$6,$B29,$A27,$A28,'Cement Volumes &amp; Prices'!$D$6,$A$4,$A29)</f>
        <v>#VALUE!</v>
      </c>
      <c r="M29" s="48" t="e">
        <f>_xll.DBRW($A$1,$A$2,M$6,$B29,$A27,$A28,'Cement Volumes &amp; Prices'!$D$6,$A$4,$A29)</f>
        <v>#VALUE!</v>
      </c>
      <c r="N29" s="48" t="e">
        <f>_xll.DBRW($A$1,$A$2,N$6,$B29,$A27,$A28,'Cement Volumes &amp; Prices'!$D$6,$A$4,$A29)</f>
        <v>#VALUE!</v>
      </c>
    </row>
    <row r="31" spans="1:14" ht="15" thickBot="1">
      <c r="A31" t="str">
        <f>_xll.SUBNM("CONS_VC:ALL.D.Currency","Default","EUR","MEMBER_NAME")</f>
        <v>EUR</v>
      </c>
      <c r="C31" s="13" t="s">
        <v>40</v>
      </c>
      <c r="D31" s="13" t="s">
        <v>42</v>
      </c>
      <c r="E31" s="13" t="s">
        <v>41</v>
      </c>
      <c r="F31" s="13" t="s">
        <v>43</v>
      </c>
      <c r="G31" s="13" t="s">
        <v>44</v>
      </c>
      <c r="H31" s="13" t="s">
        <v>45</v>
      </c>
      <c r="I31" s="13" t="s">
        <v>51</v>
      </c>
      <c r="J31" s="13" t="s">
        <v>46</v>
      </c>
      <c r="K31" s="13" t="s">
        <v>47</v>
      </c>
      <c r="L31" s="13" t="s">
        <v>48</v>
      </c>
      <c r="M31" s="13" t="s">
        <v>49</v>
      </c>
      <c r="N31" s="13" t="s">
        <v>50</v>
      </c>
    </row>
    <row r="32" spans="1:14">
      <c r="A32" t="str">
        <f>_xll.SUBNM("CONS_VC:ALL.D.Region","Default","VCEAA","MEMBER_NAME")</f>
        <v>VCEAA</v>
      </c>
      <c r="B32" s="10" t="e">
        <f>'Cement Volumes &amp; Prices'!$V$6</f>
        <v>#N/A</v>
      </c>
      <c r="C32" s="48" t="e">
        <f>_xll.DBRW($A$1,$A$2,C$6,$B32,$A31,$A32,'Cement Volumes &amp; Prices'!$D$6,$A$4,$A33)</f>
        <v>#VALUE!</v>
      </c>
      <c r="D32" s="48" t="e">
        <f>_xll.DBRW($A$1,$A$2,D$6,$B32,$A31,$A32,'Cement Volumes &amp; Prices'!$D$6,$A$4,$A33)</f>
        <v>#VALUE!</v>
      </c>
      <c r="E32" s="48" t="e">
        <f>_xll.DBRW($A$1,$A$2,E$6,$B32,$A31,$A32,'Cement Volumes &amp; Prices'!$D$6,$A$4,$A33)</f>
        <v>#VALUE!</v>
      </c>
      <c r="F32" s="48" t="e">
        <f>_xll.DBRW($A$1,$A$2,F$6,$B32,$A31,$A32,'Cement Volumes &amp; Prices'!$D$6,$A$4,$A33)</f>
        <v>#VALUE!</v>
      </c>
      <c r="G32" s="48" t="e">
        <f>_xll.DBRW($A$1,$A$2,G$6,$B32,$A31,$A32,'Cement Volumes &amp; Prices'!$D$6,$A$4,$A33)</f>
        <v>#VALUE!</v>
      </c>
      <c r="H32" s="48" t="e">
        <f>_xll.DBRW($A$1,$A$2,H$6,$B32,$A31,$A32,'Cement Volumes &amp; Prices'!$D$6,$A$4,$A33)</f>
        <v>#VALUE!</v>
      </c>
      <c r="I32" s="48" t="e">
        <f>_xll.DBRW($A$1,$A$2,I$6,$B32,$A31,$A32,'Cement Volumes &amp; Prices'!$D$6,$A$4,$A33)</f>
        <v>#VALUE!</v>
      </c>
      <c r="J32" s="48" t="e">
        <f>_xll.DBRW($A$1,$A$2,J$6,$B32,$A31,$A32,'Cement Volumes &amp; Prices'!$D$6,$A$4,$A33)</f>
        <v>#VALUE!</v>
      </c>
      <c r="K32" s="48" t="e">
        <f>_xll.DBRW($A$1,$A$2,K$6,$B32,$A31,$A32,'Cement Volumes &amp; Prices'!$D$6,$A$4,$A33)</f>
        <v>#VALUE!</v>
      </c>
      <c r="L32" s="48" t="e">
        <f>_xll.DBRW($A$1,$A$2,L$6,$B32,$A31,$A32,'Cement Volumes &amp; Prices'!$D$6,$A$4,$A33)</f>
        <v>#VALUE!</v>
      </c>
      <c r="M32" s="48" t="e">
        <f>_xll.DBRW($A$1,$A$2,M$6,$B32,$A31,$A32,'Cement Volumes &amp; Prices'!$D$6,$A$4,$A33)</f>
        <v>#VALUE!</v>
      </c>
      <c r="N32" s="48" t="e">
        <f>_xll.DBRW($A$1,$A$2,N$6,$B32,$A31,$A32,'Cement Volumes &amp; Prices'!$D$6,$A$4,$A33)</f>
        <v>#VALUE!</v>
      </c>
    </row>
    <row r="33" spans="1:14">
      <c r="A33" s="12" t="str">
        <f>_xll.SUBNM("CONS_VC:REV.M.100.Revenue_Consolidated","Default","Price Premium [$/ton]")</f>
        <v>Price Premium [$/ton]</v>
      </c>
      <c r="B33" s="10" t="e">
        <f>'Cement Volumes &amp; Prices'!$X$6</f>
        <v>#N/A</v>
      </c>
      <c r="C33" s="48" t="e">
        <f>_xll.DBRW($A$1,$A$2,C$6,$B33,$A31,$A32,'Cement Volumes &amp; Prices'!$D$6,$A$4,$A33)</f>
        <v>#VALUE!</v>
      </c>
      <c r="D33" s="48" t="e">
        <f>_xll.DBRW($A$1,$A$2,D$6,$B33,$A31,$A32,'Cement Volumes &amp; Prices'!$D$6,$A$4,$A33)</f>
        <v>#VALUE!</v>
      </c>
      <c r="E33" s="48" t="e">
        <f>_xll.DBRW($A$1,$A$2,E$6,$B33,$A31,$A32,'Cement Volumes &amp; Prices'!$D$6,$A$4,$A33)</f>
        <v>#VALUE!</v>
      </c>
      <c r="F33" s="48" t="e">
        <f>_xll.DBRW($A$1,$A$2,F$6,$B33,$A31,$A32,'Cement Volumes &amp; Prices'!$D$6,$A$4,$A33)</f>
        <v>#VALUE!</v>
      </c>
      <c r="G33" s="48" t="e">
        <f>_xll.DBRW($A$1,$A$2,G$6,$B33,$A31,$A32,'Cement Volumes &amp; Prices'!$D$6,$A$4,$A33)</f>
        <v>#VALUE!</v>
      </c>
      <c r="H33" s="48" t="e">
        <f>_xll.DBRW($A$1,$A$2,H$6,$B33,$A31,$A32,'Cement Volumes &amp; Prices'!$D$6,$A$4,$A33)</f>
        <v>#VALUE!</v>
      </c>
      <c r="I33" s="48" t="e">
        <f>_xll.DBRW($A$1,$A$2,I$6,$B33,$A31,$A32,'Cement Volumes &amp; Prices'!$D$6,$A$4,$A33)</f>
        <v>#VALUE!</v>
      </c>
      <c r="J33" s="48" t="e">
        <f>_xll.DBRW($A$1,$A$2,J$6,$B33,$A31,$A32,'Cement Volumes &amp; Prices'!$D$6,$A$4,$A33)</f>
        <v>#VALUE!</v>
      </c>
      <c r="K33" s="48" t="e">
        <f>_xll.DBRW($A$1,$A$2,K$6,$B33,$A31,$A32,'Cement Volumes &amp; Prices'!$D$6,$A$4,$A33)</f>
        <v>#VALUE!</v>
      </c>
      <c r="L33" s="48" t="e">
        <f>_xll.DBRW($A$1,$A$2,L$6,$B33,$A31,$A32,'Cement Volumes &amp; Prices'!$D$6,$A$4,$A33)</f>
        <v>#VALUE!</v>
      </c>
      <c r="M33" s="48" t="e">
        <f>_xll.DBRW($A$1,$A$2,M$6,$B33,$A31,$A32,'Cement Volumes &amp; Prices'!$D$6,$A$4,$A33)</f>
        <v>#VALUE!</v>
      </c>
      <c r="N33" s="48" t="e">
        <f>_xll.DBRW($A$1,$A$2,N$6,$B33,$A31,$A32,'Cement Volumes &amp; Prices'!$D$6,$A$4,$A33)</f>
        <v>#VALUE!</v>
      </c>
    </row>
    <row r="35" spans="1:14" ht="15" thickBot="1">
      <c r="A35" t="str">
        <f>_xll.SUBNM("CONS_VC:ALL.D.Currency","Default","USD","MEMBER_NAME")</f>
        <v>USD</v>
      </c>
      <c r="C35" s="13" t="s">
        <v>40</v>
      </c>
      <c r="D35" s="13" t="s">
        <v>42</v>
      </c>
      <c r="E35" s="13" t="s">
        <v>41</v>
      </c>
      <c r="F35" s="13" t="s">
        <v>43</v>
      </c>
      <c r="G35" s="13" t="s">
        <v>44</v>
      </c>
      <c r="H35" s="13" t="s">
        <v>45</v>
      </c>
      <c r="I35" s="13" t="s">
        <v>51</v>
      </c>
      <c r="J35" s="13" t="s">
        <v>46</v>
      </c>
      <c r="K35" s="13" t="s">
        <v>47</v>
      </c>
      <c r="L35" s="13" t="s">
        <v>48</v>
      </c>
      <c r="M35" s="13" t="s">
        <v>49</v>
      </c>
      <c r="N35" s="13" t="s">
        <v>50</v>
      </c>
    </row>
    <row r="36" spans="1:14">
      <c r="A36" t="str">
        <f>_xll.SUBNM("CONS_VC:ALL.D.Region","Default","VCLATAM Incl. AVEL","MEMBER_NAME")</f>
        <v>VCLATAM Incl. AVEL</v>
      </c>
      <c r="B36" s="10" t="e">
        <f>'Cement Volumes &amp; Prices'!$V$6</f>
        <v>#N/A</v>
      </c>
      <c r="C36" s="48" t="e">
        <f>_xll.DBRW($A$1,$A$2,C$6,$B36,$A35,$A36,'Cement Volumes &amp; Prices'!$D$6,$A$4,$A37)</f>
        <v>#VALUE!</v>
      </c>
      <c r="D36" s="48" t="e">
        <f>_xll.DBRW($A$1,$A$2,D$6,$B36,$A35,$A36,'Cement Volumes &amp; Prices'!$D$6,$A$4,$A37)</f>
        <v>#VALUE!</v>
      </c>
      <c r="E36" s="48" t="e">
        <f>_xll.DBRW($A$1,$A$2,E$6,$B36,$A35,$A36,'Cement Volumes &amp; Prices'!$D$6,$A$4,$A37)</f>
        <v>#VALUE!</v>
      </c>
      <c r="F36" s="48" t="e">
        <f>_xll.DBRW($A$1,$A$2,F$6,$B36,$A35,$A36,'Cement Volumes &amp; Prices'!$D$6,$A$4,$A37)</f>
        <v>#VALUE!</v>
      </c>
      <c r="G36" s="48" t="e">
        <f>_xll.DBRW($A$1,$A$2,G$6,$B36,$A35,$A36,'Cement Volumes &amp; Prices'!$D$6,$A$4,$A37)</f>
        <v>#VALUE!</v>
      </c>
      <c r="H36" s="48" t="e">
        <f>_xll.DBRW($A$1,$A$2,H$6,$B36,$A35,$A36,'Cement Volumes &amp; Prices'!$D$6,$A$4,$A37)</f>
        <v>#VALUE!</v>
      </c>
      <c r="I36" s="48" t="e">
        <f>_xll.DBRW($A$1,$A$2,I$6,$B36,$A35,$A36,'Cement Volumes &amp; Prices'!$D$6,$A$4,$A37)</f>
        <v>#VALUE!</v>
      </c>
      <c r="J36" s="48" t="e">
        <f>_xll.DBRW($A$1,$A$2,J$6,$B36,$A35,$A36,'Cement Volumes &amp; Prices'!$D$6,$A$4,$A37)</f>
        <v>#VALUE!</v>
      </c>
      <c r="K36" s="48" t="e">
        <f>_xll.DBRW($A$1,$A$2,K$6,$B36,$A35,$A36,'Cement Volumes &amp; Prices'!$D$6,$A$4,$A37)</f>
        <v>#VALUE!</v>
      </c>
      <c r="L36" s="48" t="e">
        <f>_xll.DBRW($A$1,$A$2,L$6,$B36,$A35,$A36,'Cement Volumes &amp; Prices'!$D$6,$A$4,$A37)</f>
        <v>#VALUE!</v>
      </c>
      <c r="M36" s="48" t="e">
        <f>_xll.DBRW($A$1,$A$2,M$6,$B36,$A35,$A36,'Cement Volumes &amp; Prices'!$D$6,$A$4,$A37)</f>
        <v>#VALUE!</v>
      </c>
      <c r="N36" s="48" t="e">
        <f>_xll.DBRW($A$1,$A$2,N$6,$B36,$A35,$A36,'Cement Volumes &amp; Prices'!$D$6,$A$4,$A37)</f>
        <v>#VALUE!</v>
      </c>
    </row>
    <row r="37" spans="1:14">
      <c r="A37" s="12" t="str">
        <f>_xll.SUBNM("CONS_VC:REV.M.100.Revenue_Consolidated","Default","Price Premium [$/ton]")</f>
        <v>Price Premium [$/ton]</v>
      </c>
      <c r="B37" s="10" t="e">
        <f>'Cement Volumes &amp; Prices'!$X$6</f>
        <v>#N/A</v>
      </c>
      <c r="C37" s="48" t="e">
        <f>_xll.DBRW($A$1,$A$2,C$6,$B37,$A35,$A36,'Cement Volumes &amp; Prices'!$D$6,$A$4,$A37)</f>
        <v>#VALUE!</v>
      </c>
      <c r="D37" s="48" t="e">
        <f>_xll.DBRW($A$1,$A$2,D$6,$B37,$A35,$A36,'Cement Volumes &amp; Prices'!$D$6,$A$4,$A37)</f>
        <v>#VALUE!</v>
      </c>
      <c r="E37" s="48" t="e">
        <f>_xll.DBRW($A$1,$A$2,E$6,$B37,$A35,$A36,'Cement Volumes &amp; Prices'!$D$6,$A$4,$A37)</f>
        <v>#VALUE!</v>
      </c>
      <c r="F37" s="48" t="e">
        <f>_xll.DBRW($A$1,$A$2,F$6,$B37,$A35,$A36,'Cement Volumes &amp; Prices'!$D$6,$A$4,$A37)</f>
        <v>#VALUE!</v>
      </c>
      <c r="G37" s="48" t="e">
        <f>_xll.DBRW($A$1,$A$2,G$6,$B37,$A35,$A36,'Cement Volumes &amp; Prices'!$D$6,$A$4,$A37)</f>
        <v>#VALUE!</v>
      </c>
      <c r="H37" s="48" t="e">
        <f>_xll.DBRW($A$1,$A$2,H$6,$B37,$A35,$A36,'Cement Volumes &amp; Prices'!$D$6,$A$4,$A37)</f>
        <v>#VALUE!</v>
      </c>
      <c r="I37" s="48" t="e">
        <f>_xll.DBRW($A$1,$A$2,I$6,$B37,$A35,$A36,'Cement Volumes &amp; Prices'!$D$6,$A$4,$A37)</f>
        <v>#VALUE!</v>
      </c>
      <c r="J37" s="48" t="e">
        <f>_xll.DBRW($A$1,$A$2,J$6,$B37,$A35,$A36,'Cement Volumes &amp; Prices'!$D$6,$A$4,$A37)</f>
        <v>#VALUE!</v>
      </c>
      <c r="K37" s="48" t="e">
        <f>_xll.DBRW($A$1,$A$2,K$6,$B37,$A35,$A36,'Cement Volumes &amp; Prices'!$D$6,$A$4,$A37)</f>
        <v>#VALUE!</v>
      </c>
      <c r="L37" s="48" t="e">
        <f>_xll.DBRW($A$1,$A$2,L$6,$B37,$A35,$A36,'Cement Volumes &amp; Prices'!$D$6,$A$4,$A37)</f>
        <v>#VALUE!</v>
      </c>
      <c r="M37" s="48" t="e">
        <f>_xll.DBRW($A$1,$A$2,M$6,$B37,$A35,$A36,'Cement Volumes &amp; Prices'!$D$6,$A$4,$A37)</f>
        <v>#VALUE!</v>
      </c>
      <c r="N37" s="48" t="e">
        <f>_xll.DBRW($A$1,$A$2,N$6,$B37,$A35,$A36,'Cement Volumes &amp; Prices'!$D$6,$A$4,$A37)</f>
        <v>#VALUE!</v>
      </c>
    </row>
  </sheetData>
  <phoneticPr fontId="10" type="noConversion"/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358B-6A40-41E4-88FB-9D4D41672731}">
  <sheetPr codeName="Planilha6"/>
  <dimension ref="B1:Z8"/>
  <sheetViews>
    <sheetView showGridLines="0" tabSelected="1" workbookViewId="0">
      <selection activeCell="AD15" sqref="AD15"/>
    </sheetView>
  </sheetViews>
  <sheetFormatPr defaultRowHeight="14.4"/>
  <cols>
    <col min="1" max="1" width="5.6640625" customWidth="1"/>
    <col min="2" max="2" width="4.21875" customWidth="1"/>
    <col min="3" max="3" width="9.5546875" customWidth="1"/>
  </cols>
  <sheetData>
    <row r="1" spans="2:26" ht="15" customHeight="1">
      <c r="B1" s="226" t="s">
        <v>108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</row>
    <row r="2" spans="2:26" ht="15" customHeight="1"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</row>
    <row r="3" spans="2:26" ht="15" customHeight="1">
      <c r="C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2:26" ht="7.2" customHeight="1">
      <c r="B4" s="89"/>
      <c r="C4" s="125"/>
      <c r="D4" s="89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2:26" ht="12.6" customHeight="1">
      <c r="B5" s="85"/>
      <c r="C5" s="100"/>
      <c r="D5" s="85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2:26" ht="21.6" customHeight="1">
      <c r="B6" s="85"/>
      <c r="C6" s="124" t="s">
        <v>63</v>
      </c>
      <c r="D6" s="225" t="e">
        <f>_xll.SUBNM("CONS_VC_PRD:ALL.D.Products","Products","Cement Group","Código e Descrição")</f>
        <v>#N/A</v>
      </c>
      <c r="E6" s="225"/>
      <c r="F6" s="225"/>
      <c r="G6" s="225"/>
      <c r="H6" s="225"/>
      <c r="I6" s="100"/>
      <c r="J6" s="100"/>
      <c r="K6" s="100"/>
      <c r="L6" s="100"/>
      <c r="M6" s="100"/>
      <c r="N6" s="100"/>
      <c r="O6" s="100"/>
      <c r="P6" s="85"/>
      <c r="Q6" s="85"/>
      <c r="R6" s="85"/>
      <c r="S6" s="113" t="s">
        <v>62</v>
      </c>
      <c r="T6" s="113" t="e">
        <f>_xll.SUBNM("CONS_VC_PRD:ALL.D.Year","Sys_Picklist","2026","MEMBER_NAME")</f>
        <v>#N/A</v>
      </c>
      <c r="U6" s="90"/>
      <c r="V6" s="113" t="e">
        <f>_xll.SUBNM("CONS_VC_PRD:ALL.D.Version","Sys.Report","L300","Descrição")</f>
        <v>#N/A</v>
      </c>
      <c r="W6" s="85"/>
      <c r="X6" s="113" t="e">
        <f>_xll.SUBNM("CONS_VC_PRD:ALL.D.Version","Sys.Report","RF","Descrição")</f>
        <v>#N/A</v>
      </c>
      <c r="Y6" s="85"/>
      <c r="Z6" s="85"/>
    </row>
    <row r="7" spans="2:26" ht="12.6" customHeight="1">
      <c r="B7" s="91"/>
      <c r="C7" s="91"/>
      <c r="D7" s="91"/>
      <c r="E7" s="91"/>
      <c r="F7" s="91"/>
      <c r="G7" s="91"/>
      <c r="H7" s="91"/>
      <c r="I7" s="91"/>
      <c r="J7" s="91"/>
      <c r="K7" s="95"/>
      <c r="L7" s="91"/>
      <c r="M7" s="91"/>
      <c r="N7" s="96"/>
      <c r="O7" s="91"/>
      <c r="P7" s="91"/>
      <c r="Q7" s="91"/>
      <c r="R7" s="97"/>
      <c r="S7" s="91"/>
      <c r="T7" s="98"/>
      <c r="U7" s="98"/>
      <c r="V7" s="98"/>
      <c r="W7" s="91"/>
      <c r="X7" s="99"/>
      <c r="Y7" s="91"/>
      <c r="Z7" s="91"/>
    </row>
    <row r="8" spans="2:26" ht="15" customHeight="1" thickBot="1">
      <c r="B8" s="130"/>
      <c r="C8" s="130" t="s">
        <v>106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30" t="s">
        <v>107</v>
      </c>
      <c r="P8" s="127"/>
      <c r="Q8" s="127"/>
      <c r="R8" s="128"/>
      <c r="S8" s="129"/>
      <c r="T8" s="129"/>
      <c r="U8" s="129"/>
      <c r="V8" s="129"/>
      <c r="W8" s="127"/>
      <c r="X8" s="127"/>
      <c r="Y8" s="127"/>
      <c r="Z8" s="127"/>
    </row>
  </sheetData>
  <mergeCells count="2">
    <mergeCell ref="D6:H6"/>
    <mergeCell ref="B1:O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0C40-5B9A-46C9-AC3C-B94738C4BA4D}">
  <sheetPr codeName="Planilha7"/>
  <dimension ref="A1:S34"/>
  <sheetViews>
    <sheetView workbookViewId="0">
      <selection activeCell="A33" sqref="A33"/>
    </sheetView>
  </sheetViews>
  <sheetFormatPr defaultRowHeight="14.4"/>
  <cols>
    <col min="1" max="1" width="25.77734375" customWidth="1"/>
    <col min="2" max="2" width="10.33203125" bestFit="1" customWidth="1"/>
    <col min="3" max="3" width="11.109375" bestFit="1" customWidth="1"/>
    <col min="4" max="5" width="10.6640625" bestFit="1" customWidth="1"/>
    <col min="11" max="11" width="51.6640625" bestFit="1" customWidth="1"/>
    <col min="12" max="16" width="12.44140625" bestFit="1" customWidth="1"/>
    <col min="17" max="18" width="13.5546875" bestFit="1" customWidth="1"/>
    <col min="19" max="19" width="13.5546875" customWidth="1"/>
    <col min="20" max="20" width="12.44140625" bestFit="1" customWidth="1"/>
    <col min="21" max="21" width="6.33203125" bestFit="1" customWidth="1"/>
  </cols>
  <sheetData>
    <row r="1" spans="1:19" ht="15" customHeight="1">
      <c r="A1" t="s">
        <v>126</v>
      </c>
    </row>
    <row r="2" spans="1:19" ht="15" customHeight="1" thickBot="1">
      <c r="A2" t="s">
        <v>80</v>
      </c>
    </row>
    <row r="3" spans="1:19" ht="15" customHeight="1">
      <c r="A3" s="44" t="s">
        <v>54</v>
      </c>
    </row>
    <row r="4" spans="1:19">
      <c r="A4" s="45" t="e">
        <f>EBITDA!M6</f>
        <v>#N/A</v>
      </c>
    </row>
    <row r="5" spans="1:19">
      <c r="A5" s="45" t="str">
        <f>_xll.SUBNM("CONS_VC:DFS.M.100.Profit_and_Loss",,"Total Value")</f>
        <v>Total Value</v>
      </c>
    </row>
    <row r="6" spans="1:19">
      <c r="A6" s="45" t="str">
        <f>_xll.SUBNM("CONS_VC:ALL.D.Version","Sys.Report","Actual","Descrição")</f>
        <v>Actual</v>
      </c>
      <c r="C6" t="e">
        <f>EBITDA!C6</f>
        <v>#N/A</v>
      </c>
    </row>
    <row r="7" spans="1:19">
      <c r="A7" s="46" t="e">
        <f>EBITDA!X6</f>
        <v>#N/A</v>
      </c>
    </row>
    <row r="8" spans="1:19">
      <c r="A8" t="e">
        <f>EBITDA!R6</f>
        <v>#N/A</v>
      </c>
    </row>
    <row r="9" spans="1:19">
      <c r="A9" s="45" t="str">
        <f>_xll.SUBNM("CONS_VC:ALL.D.Products",,"Total Products")</f>
        <v>Total Products</v>
      </c>
    </row>
    <row r="11" spans="1:19" ht="15" thickBot="1"/>
    <row r="12" spans="1:19" ht="15" thickBot="1">
      <c r="A12" s="234" t="s">
        <v>66</v>
      </c>
      <c r="B12" s="235"/>
      <c r="C12" s="30" t="s">
        <v>55</v>
      </c>
      <c r="D12" s="30" t="s">
        <v>56</v>
      </c>
      <c r="E12" s="30" t="s">
        <v>57</v>
      </c>
      <c r="F12" s="31" t="s">
        <v>58</v>
      </c>
      <c r="H12" s="234" t="s">
        <v>67</v>
      </c>
      <c r="I12" s="235"/>
      <c r="J12" s="35" t="s">
        <v>9</v>
      </c>
      <c r="K12" s="36" t="e">
        <f>EBITDA!$AI$6</f>
        <v>#N/A</v>
      </c>
      <c r="L12" s="37" t="s">
        <v>30</v>
      </c>
      <c r="M12" s="37" t="e">
        <f>EBITDA!$AM$6</f>
        <v>#N/A</v>
      </c>
      <c r="N12" s="37" t="e">
        <f>EBITDA!$AM$6</f>
        <v>#N/A</v>
      </c>
      <c r="O12" s="37" t="e">
        <f>EBITDA!$AM$6</f>
        <v>#N/A</v>
      </c>
      <c r="P12" s="37" t="e">
        <f>EBITDA!$AM$6</f>
        <v>#N/A</v>
      </c>
      <c r="Q12" s="37" t="e">
        <f>EBITDA!$AM$6</f>
        <v>#N/A</v>
      </c>
      <c r="R12" s="36" t="e">
        <f>EBITDA!$AI$6</f>
        <v>#N/A</v>
      </c>
      <c r="S12" s="37" t="e">
        <f>EBITDA!$AM$6</f>
        <v>#N/A</v>
      </c>
    </row>
    <row r="13" spans="1:19" ht="15" thickBot="1">
      <c r="A13" t="e">
        <f>EBITDA!$AI$6</f>
        <v>#N/A</v>
      </c>
      <c r="B13" s="34" t="e">
        <f>$A$4-1</f>
        <v>#N/A</v>
      </c>
      <c r="C13" s="48" t="e">
        <f>_xll.DBRW($A$2,$B$13,C$12,$A13,$A$7,$A$8,$A$9,$C$6,$A$5)</f>
        <v>#VALUE!</v>
      </c>
      <c r="D13" s="48" t="e">
        <f>_xll.DBRW($A$2,$B$13,D$12,$A13,$A$7,$A$8,$A$9,$C$6,$A$5)</f>
        <v>#VALUE!</v>
      </c>
      <c r="E13" s="48" t="e">
        <f>_xll.DBRW($A$2,$B$13,E$12,$A13,$A$7,$A$8,$A$9,$C$6,$A$5)</f>
        <v>#VALUE!</v>
      </c>
      <c r="F13" s="170" t="e">
        <f>_xll.DBRW($A$2,$B$13,F$12,$A13,$A$7,$A$8,$A$9,$C$6,$A$5)</f>
        <v>#VALUE!</v>
      </c>
      <c r="H13" s="32"/>
      <c r="J13" s="18" t="s">
        <v>65</v>
      </c>
      <c r="K13" s="22" t="s">
        <v>38</v>
      </c>
      <c r="L13" s="22" t="s">
        <v>38</v>
      </c>
      <c r="M13" s="22" t="s">
        <v>19</v>
      </c>
      <c r="N13" s="22" t="s">
        <v>20</v>
      </c>
      <c r="O13" s="25" t="s">
        <v>33</v>
      </c>
      <c r="P13" s="20" t="s">
        <v>34</v>
      </c>
      <c r="Q13" s="22" t="s">
        <v>39</v>
      </c>
      <c r="R13" s="25" t="s">
        <v>64</v>
      </c>
      <c r="S13" s="38" t="s">
        <v>38</v>
      </c>
    </row>
    <row r="14" spans="1:19" ht="15" thickBot="1">
      <c r="A14" s="32" t="e">
        <f>EBITDA!$AK$6</f>
        <v>#N/A</v>
      </c>
      <c r="B14" s="34" t="e">
        <f>$A$4</f>
        <v>#N/A</v>
      </c>
      <c r="C14" s="48" t="e">
        <f>_xll.DBRW($A$2,$A$4,C$12,$A14,$A$7,$A$8,$A$9,$C$6,$A$5)</f>
        <v>#VALUE!</v>
      </c>
      <c r="D14" s="48" t="e">
        <f>_xll.DBRW($A$2,$A$4,D$12,$A14,$A$7,$A$8,$A$9,$C$6,$A$5)</f>
        <v>#VALUE!</v>
      </c>
      <c r="E14" s="48" t="e">
        <f>_xll.DBRW($A$2,$A$4,E$12,$A14,$A$7,$A$8,$A$9,$C$6,$A$5)</f>
        <v>#VALUE!</v>
      </c>
      <c r="F14" s="170" t="e">
        <f>_xll.DBRW($A$2,$A$4,F$12,$A14,$A$7,$A$8,$A$9,$C$6,$A$5)</f>
        <v>#VALUE!</v>
      </c>
      <c r="H14" s="32"/>
      <c r="J14" s="18"/>
      <c r="K14" s="23" t="e">
        <f>A4-1</f>
        <v>#N/A</v>
      </c>
      <c r="L14" s="23" t="s">
        <v>30</v>
      </c>
      <c r="M14" s="23" t="s">
        <v>19</v>
      </c>
      <c r="N14" s="23" t="s">
        <v>20</v>
      </c>
      <c r="O14" s="24" t="s">
        <v>21</v>
      </c>
      <c r="P14" s="21" t="s">
        <v>34</v>
      </c>
      <c r="Q14" s="23" t="s">
        <v>52</v>
      </c>
      <c r="R14" s="24" t="s">
        <v>53</v>
      </c>
      <c r="S14" s="39" t="e">
        <f>A4</f>
        <v>#N/A</v>
      </c>
    </row>
    <row r="15" spans="1:19" ht="15" thickBot="1">
      <c r="A15" s="33" t="e">
        <f>EBITDA!$AM$6</f>
        <v>#N/A</v>
      </c>
      <c r="B15" s="34" t="e">
        <f>$A$4</f>
        <v>#N/A</v>
      </c>
      <c r="C15" s="171" t="e">
        <f>_xll.DBRW($A$2,$A$4,C$12,$A15,$A$7,$A$8,$A$9,$C$6,$A$5)</f>
        <v>#VALUE!</v>
      </c>
      <c r="D15" s="171" t="e">
        <f>_xll.DBRW($A$2,$A$4,D$12,$A15,$A$7,$A$8,$A$9,$C$6,$A$5)</f>
        <v>#VALUE!</v>
      </c>
      <c r="E15" s="171" t="e">
        <f>_xll.DBRW($A$2,$A$4,E$12,$A15,$A$7,$A$8,$A$9,$C$6,$A$5)</f>
        <v>#VALUE!</v>
      </c>
      <c r="F15" s="172" t="e">
        <f>_xll.DBRW($A$2,$A$4,F$12,$A15,$A$7,$A$8,$A$9,$C$6,$A$5)</f>
        <v>#VALUE!</v>
      </c>
      <c r="H15" s="32"/>
      <c r="J15" s="19"/>
      <c r="K15" s="166" t="e">
        <f>_xll.DBRW($A$2,$K$14,$A$3,K$12,EBITDA!$X$6,K$13,$A$9,$C$6,$A$5)</f>
        <v>#VALUE!</v>
      </c>
      <c r="L15" s="166" t="e">
        <f>_xll.DBRW($A$2,$A$4,$A$3,L$12,EBITDA!$X$6,L$13,$A$9,$C$6,$A$5)</f>
        <v>#VALUE!</v>
      </c>
      <c r="M15" s="166" t="e">
        <f>_xll.DBRW($A$2,$A$4,$A$3,M$12,EBITDA!$X$6,M$13,$A$9,$C$6,$A$5)</f>
        <v>#VALUE!</v>
      </c>
      <c r="N15" s="166" t="e">
        <f>_xll.DBRW($A$2,$A$4,$A$3,N$12,EBITDA!$X$6,N$13,$A$9,$C$6,$A$5)</f>
        <v>#VALUE!</v>
      </c>
      <c r="O15" s="166" t="e">
        <f>_xll.DBRW($A$2,$A$4,$A$3,O$12,EBITDA!$X$6,O$13,$A$9,$C$6,$A$5)</f>
        <v>#VALUE!</v>
      </c>
      <c r="P15" s="166" t="e">
        <f>_xll.DBRW($A$2,$A$4,$A$3,P$12,EBITDA!$X$6,P$13,$A$9,$C$6,$A$5)</f>
        <v>#VALUE!</v>
      </c>
      <c r="Q15" s="166" t="e">
        <f>_xll.DBRW($A$2,$A$4,$A$3,Q$12,EBITDA!$X$6,Q$13,$A$9,$C$6,$A$5)</f>
        <v>#VALUE!</v>
      </c>
      <c r="R15" s="166" t="e">
        <f>_xll.DBRW($A$2,$A$4,$A$3,R$12,EBITDA!$X$6,R$13,$A$9,$C$6,$A$5)</f>
        <v>#VALUE!</v>
      </c>
      <c r="S15" s="173" t="e">
        <f>_xll.DBRW($A$2,$A$4,$A$3,S$12,EBITDA!$X$6,S$13,$A$9,$C$6,$A$5)</f>
        <v>#VALUE!</v>
      </c>
    </row>
    <row r="16" spans="1:19" ht="15" thickBot="1">
      <c r="H16" s="33"/>
      <c r="I16" s="40"/>
      <c r="J16" s="41" t="e">
        <f>EBITDA!AK6</f>
        <v>#N/A</v>
      </c>
      <c r="K16" s="167"/>
      <c r="L16" s="168"/>
      <c r="M16" s="168" t="e">
        <f>_xll.DBRW($A$2,$A$4,$A$3,$J$16,EBITDA!$X$6,M$13,$A$9,$C$6,$A$5)</f>
        <v>#VALUE!</v>
      </c>
      <c r="N16" s="168" t="e">
        <f>_xll.DBRW($A$2,$A$4,$A$3,$J$16,EBITDA!$X$6,N$13,$A$9,$C$6,$A$5)</f>
        <v>#VALUE!</v>
      </c>
      <c r="O16" s="168" t="e">
        <f>_xll.DBRW($A$2,$A$4,$A$3,$J$16,EBITDA!$X$6,O$13,$A$9,$C$6,$A$5)</f>
        <v>#VALUE!</v>
      </c>
      <c r="P16" s="168" t="e">
        <f>_xll.DBRW($A$2,$A$4,$A$3,$J$16,EBITDA!$X$6,P$13,$A$9,$C$6,$A$5)</f>
        <v>#VALUE!</v>
      </c>
      <c r="Q16" s="168" t="e">
        <f>_xll.DBRW($A$2,$A$4,$A$3,$J$16,EBITDA!$X$6,Q$13,$A$9,$C$6,$A$5)</f>
        <v>#VALUE!</v>
      </c>
      <c r="R16" s="168"/>
      <c r="S16" s="169"/>
    </row>
    <row r="17" spans="1:19">
      <c r="M17" s="26"/>
      <c r="N17" s="26"/>
      <c r="O17" s="26"/>
      <c r="P17" s="26"/>
      <c r="Q17" s="26"/>
    </row>
    <row r="19" spans="1:19" ht="15" thickBot="1">
      <c r="L19" s="26"/>
    </row>
    <row r="20" spans="1:19" ht="15" thickBot="1">
      <c r="A20" s="42" t="s">
        <v>59</v>
      </c>
      <c r="B20" s="43"/>
      <c r="C20" s="30" t="s">
        <v>55</v>
      </c>
      <c r="D20" s="30" t="s">
        <v>56</v>
      </c>
      <c r="E20" s="30" t="s">
        <v>57</v>
      </c>
      <c r="F20" s="31" t="s">
        <v>58</v>
      </c>
    </row>
    <row r="21" spans="1:19" ht="15" thickBot="1">
      <c r="A21" t="e">
        <f>EBITDA!$AI$6</f>
        <v>#N/A</v>
      </c>
      <c r="B21" s="34" t="e">
        <f>$A$4-1</f>
        <v>#N/A</v>
      </c>
      <c r="C21" s="183" t="e">
        <f>_xll.DBRW($A$2,$B21,C$20,$A21,$A$7,$A$8,$A$9,$A$20,$A$5)</f>
        <v>#VALUE!</v>
      </c>
      <c r="D21" s="183" t="e">
        <f>_xll.DBRW($A$2,$B21,D$20,$A21,$A$7,$A$8,$A$9,$A$20,$A$5)</f>
        <v>#VALUE!</v>
      </c>
      <c r="E21" s="183" t="e">
        <f>_xll.DBRW($A$2,$B21,E$20,$A21,$A$7,$A$8,$A$9,$A$20,$A$5)</f>
        <v>#VALUE!</v>
      </c>
      <c r="F21" s="183" t="e">
        <f>_xll.DBRW($A$2,$B21,F$20,$A21,$A$7,$A$8,$A$9,$A$20,$A$5)</f>
        <v>#VALUE!</v>
      </c>
      <c r="K21" s="183" t="e">
        <f>_xll.DBRW($A$2,$B21,A$3,$A21,$A$7,$A$8,$A$9,$A$20,$A$5)</f>
        <v>#VALUE!</v>
      </c>
      <c r="L21" s="183" t="e">
        <f>_xll.DBRW($A$2,$B22,A$3,$A22,$A$7,$A$8,$A$9,$A$20,$A$5)</f>
        <v>#VALUE!</v>
      </c>
      <c r="S21" s="183" t="e">
        <f>_xll.DBRW($A$2,$B23,A$3,$A23,$A$7,$A$8,$A$9,$A$20,$A$5)</f>
        <v>#VALUE!</v>
      </c>
    </row>
    <row r="22" spans="1:19" ht="15" thickBot="1">
      <c r="A22" s="32" t="e">
        <f>EBITDA!$AK$6</f>
        <v>#N/A</v>
      </c>
      <c r="B22" s="34" t="e">
        <f>$A$4</f>
        <v>#N/A</v>
      </c>
      <c r="C22" s="183" t="e">
        <f>_xll.DBRW($A$2,$B22,C$20,$A22,$A$7,$A$8,$A$9,$A$20,$A$5)</f>
        <v>#VALUE!</v>
      </c>
      <c r="D22" s="183" t="e">
        <f>_xll.DBRW($A$2,$B22,D$20,$A22,$A$7,$A$8,$A$9,$A$20,$A$5)</f>
        <v>#VALUE!</v>
      </c>
      <c r="E22" s="183" t="e">
        <f>_xll.DBRW($A$2,$B22,E$20,$A22,$A$7,$A$8,$A$9,$A$20,$A$5)</f>
        <v>#VALUE!</v>
      </c>
      <c r="F22" s="183" t="e">
        <f>_xll.DBRW($A$2,$B22,F$20,$A22,$A$7,$A$8,$A$9,$A$20,$A$5)</f>
        <v>#VALUE!</v>
      </c>
    </row>
    <row r="23" spans="1:19" ht="15" thickBot="1">
      <c r="A23" s="33" t="e">
        <f>EBITDA!$AM$6</f>
        <v>#N/A</v>
      </c>
      <c r="B23" s="34" t="e">
        <f>$A$4</f>
        <v>#N/A</v>
      </c>
      <c r="C23" s="183" t="e">
        <f>_xll.DBRW($A$2,$B23,C$20,$A23,$A$7,$A$8,$A$9,$A$20,$A$5)</f>
        <v>#VALUE!</v>
      </c>
      <c r="D23" s="183" t="e">
        <f>_xll.DBRW($A$2,$B23,D$20,$A23,$A$7,$A$8,$A$9,$A$20,$A$5)</f>
        <v>#VALUE!</v>
      </c>
      <c r="E23" s="183" t="e">
        <f>_xll.DBRW($A$2,$B23,E$20,$A23,$A$7,$A$8,$A$9,$A$20,$A$5)</f>
        <v>#VALUE!</v>
      </c>
      <c r="F23" s="183" t="e">
        <f>_xll.DBRW($A$2,$B23,F$20,$A23,$A$7,$A$8,$A$9,$A$20,$A$5)</f>
        <v>#VALUE!</v>
      </c>
    </row>
    <row r="26" spans="1:19" ht="15" thickBot="1">
      <c r="C26" s="184" t="s">
        <v>54</v>
      </c>
      <c r="D26" s="184" t="s">
        <v>54</v>
      </c>
      <c r="E26" s="184" t="s">
        <v>54</v>
      </c>
    </row>
    <row r="27" spans="1:19" ht="15" thickBot="1">
      <c r="A27" t="s">
        <v>125</v>
      </c>
      <c r="C27" s="185" t="e">
        <f>A21</f>
        <v>#N/A</v>
      </c>
      <c r="D27" s="185" t="e">
        <f>A22</f>
        <v>#N/A</v>
      </c>
      <c r="E27" s="186" t="e">
        <f>A23</f>
        <v>#N/A</v>
      </c>
    </row>
    <row r="28" spans="1:19">
      <c r="A28" s="179"/>
      <c r="B28" s="180"/>
      <c r="C28" s="187" t="e">
        <f>B21</f>
        <v>#N/A</v>
      </c>
      <c r="D28" s="187" t="e">
        <f>B22</f>
        <v>#N/A</v>
      </c>
      <c r="E28" s="186" t="e">
        <f>B23</f>
        <v>#N/A</v>
      </c>
    </row>
    <row r="29" spans="1:19">
      <c r="A29" s="181" t="s">
        <v>127</v>
      </c>
      <c r="C29" s="48" t="e">
        <f>_xll.DBRW($A$1,C$28,C$26,C$27,$A29,$A$27)</f>
        <v>#VALUE!</v>
      </c>
      <c r="D29" s="48" t="e">
        <f>_xll.DBRW($A$1,D$28,D$26,D$27,$A29,$A$27)</f>
        <v>#VALUE!</v>
      </c>
      <c r="E29" s="48" t="e">
        <f>_xll.DBRW($A$1,E$28,E$26,E$27,$A29,$A$27)</f>
        <v>#VALUE!</v>
      </c>
    </row>
    <row r="30" spans="1:19">
      <c r="A30" s="188" t="s">
        <v>121</v>
      </c>
      <c r="C30" s="48" t="e">
        <f>_xll.DBRW($A$1,C$28,C$26,C$27,$A30,$A$27)</f>
        <v>#VALUE!</v>
      </c>
      <c r="D30" s="48" t="e">
        <f>_xll.DBRW($A$1,D$28,D$26,D$27,$A30,$A$27)</f>
        <v>#VALUE!</v>
      </c>
      <c r="E30" s="48" t="e">
        <f>_xll.DBRW($A$1,E$28,E$26,E$27,$A30,$A$27)</f>
        <v>#VALUE!</v>
      </c>
    </row>
    <row r="31" spans="1:19">
      <c r="A31" s="189" t="s">
        <v>136</v>
      </c>
      <c r="C31" s="191" t="e">
        <f>_xll.DBRW($A$1,C$28,C$26,C$27,$A31,$A$27)</f>
        <v>#VALUE!</v>
      </c>
      <c r="D31" s="191" t="e">
        <f>_xll.DBRW($A$1,D$28,D$26,D$27,$A31,$A$27)</f>
        <v>#VALUE!</v>
      </c>
      <c r="E31" s="191" t="e">
        <f>_xll.DBRW($A$1,E$28,E$26,E$27,$A31,$A$27)</f>
        <v>#VALUE!</v>
      </c>
    </row>
    <row r="32" spans="1:19">
      <c r="A32" s="181" t="s">
        <v>128</v>
      </c>
      <c r="C32" s="191" t="e">
        <f>_xll.DBRW($A$1,C$28,C$26,C$27,$A32,$A$27)</f>
        <v>#VALUE!</v>
      </c>
      <c r="D32" s="191" t="e">
        <f>_xll.DBRW($A$1,D$28,D$26,D$27,$A32,$A$27)</f>
        <v>#VALUE!</v>
      </c>
      <c r="E32" s="191" t="e">
        <f>_xll.DBRW($A$1,E$28,E$26,E$27,$A32,$A$27)</f>
        <v>#VALUE!</v>
      </c>
    </row>
    <row r="33" spans="1:5">
      <c r="A33" s="188" t="s">
        <v>123</v>
      </c>
      <c r="C33" s="191" t="e">
        <f>_xll.DBRW($A$1,C$28,C$26,C$27,$A33,$A$27)</f>
        <v>#VALUE!</v>
      </c>
      <c r="D33" s="191" t="e">
        <f>_xll.DBRW($A$1,D$28,D$26,D$27,$A33,$A$27)</f>
        <v>#VALUE!</v>
      </c>
      <c r="E33" s="191" t="e">
        <f>_xll.DBRW($A$1,E$28,E$26,E$27,$A33,$A$27)</f>
        <v>#VALUE!</v>
      </c>
    </row>
    <row r="34" spans="1:5" ht="15" thickBot="1">
      <c r="A34" s="190" t="s">
        <v>124</v>
      </c>
      <c r="B34" s="182"/>
      <c r="C34" s="48" t="e">
        <f>_xll.DBRW($A$1,C$28,C$26,C$27,$A34,$A$27)</f>
        <v>#VALUE!</v>
      </c>
      <c r="D34" s="48" t="e">
        <f>_xll.DBRW($A$1,D$28,D$26,D$27,$A34,$A$27)</f>
        <v>#VALUE!</v>
      </c>
      <c r="E34" s="48" t="e">
        <f>_xll.DBRW($A$1,E$28,E$26,E$27,$A34,$A$27)</f>
        <v>#VALUE!</v>
      </c>
    </row>
  </sheetData>
  <mergeCells count="2">
    <mergeCell ref="H12:I12"/>
    <mergeCell ref="A12:B12"/>
  </mergeCells>
  <phoneticPr fontId="10" type="noConversion"/>
  <pageMargins left="0.511811024" right="0.511811024" top="0.78740157499999996" bottom="0.78740157499999996" header="0.31496062000000002" footer="0.31496062000000002"/>
  <customProperties>
    <customPr name="COR_LastLabelRowStart" r:id="rId1"/>
    <customPr name="COR_MapSheets" r:id="rId2"/>
    <customPr name="Serialized_Sheet_Mapping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3A75-D42B-49D2-ADFD-AF6E21ED45F6}">
  <sheetPr codeName="Planilha8"/>
  <dimension ref="A1:AN37"/>
  <sheetViews>
    <sheetView showGridLines="0" workbookViewId="0">
      <selection activeCell="AA33" sqref="AA33"/>
    </sheetView>
  </sheetViews>
  <sheetFormatPr defaultRowHeight="14.4"/>
  <cols>
    <col min="1" max="1" width="5.6640625" customWidth="1"/>
    <col min="2" max="27" width="4.33203125" customWidth="1"/>
  </cols>
  <sheetData>
    <row r="1" spans="2:40" ht="15" customHeight="1">
      <c r="B1" s="226" t="s">
        <v>105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</row>
    <row r="2" spans="2:40" ht="15" customHeight="1"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</row>
    <row r="3" spans="2:40" ht="15" customHeight="1"/>
    <row r="4" spans="2:40" ht="6" customHeight="1">
      <c r="C4" s="109"/>
      <c r="D4" s="109"/>
      <c r="E4" s="109"/>
      <c r="F4" s="109"/>
      <c r="G4" s="109"/>
      <c r="H4" s="109"/>
      <c r="I4" s="83"/>
      <c r="J4" s="83"/>
    </row>
    <row r="5" spans="2:40" ht="12.6" customHeight="1">
      <c r="B5" s="94"/>
      <c r="C5" s="94"/>
      <c r="D5" s="94"/>
      <c r="E5" s="105"/>
      <c r="F5" s="105"/>
      <c r="G5" s="105"/>
      <c r="H5" s="105"/>
      <c r="I5" s="106"/>
      <c r="J5" s="106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</row>
    <row r="6" spans="2:40" ht="20.399999999999999" customHeight="1">
      <c r="B6" s="85"/>
      <c r="C6" s="225" t="e">
        <f>_xll.SUBNM("CONS_VC_PRD:DFS.D.Accounts_PnL","Default","EBITDA")</f>
        <v>#N/A</v>
      </c>
      <c r="D6" s="225"/>
      <c r="E6" s="225"/>
      <c r="F6" s="225"/>
      <c r="G6" s="225"/>
      <c r="H6" s="108"/>
      <c r="I6" s="108"/>
      <c r="J6" s="108"/>
      <c r="K6" s="85"/>
      <c r="L6" s="85"/>
      <c r="M6" s="248" t="e">
        <f>_xll.SUBNM("CONS_VC_PRD:ALL.D.Year","","2025")</f>
        <v>#N/A</v>
      </c>
      <c r="N6" s="248"/>
      <c r="O6" s="248"/>
      <c r="P6" s="85"/>
      <c r="Q6" s="85"/>
      <c r="R6" s="247" t="e">
        <f>_xll.SUBNM("CONS_VC_PRD:ALL.D.Region","Default","Global")</f>
        <v>#N/A</v>
      </c>
      <c r="S6" s="247"/>
      <c r="T6" s="247"/>
      <c r="U6" s="247"/>
      <c r="V6" s="131"/>
      <c r="W6" s="110"/>
      <c r="X6" s="247" t="e">
        <f>_xll.SUBNM("CONS_VC_PRD:ALL.D.Currency","Default","BRL Conv.")</f>
        <v>#N/A</v>
      </c>
      <c r="Y6" s="247"/>
      <c r="Z6" s="247"/>
      <c r="AA6" s="247"/>
      <c r="AB6" s="85"/>
      <c r="AC6" s="102"/>
      <c r="AD6" s="102"/>
      <c r="AE6" s="102"/>
      <c r="AF6" s="102"/>
      <c r="AG6" s="85"/>
      <c r="AH6" s="102"/>
      <c r="AI6" s="113" t="e">
        <f>_xll.SUBNM("CONS_VC_PRD:ALL.D.Version","Sys.Report","Actual","Descrição")</f>
        <v>#N/A</v>
      </c>
      <c r="AJ6" s="102"/>
      <c r="AK6" s="113" t="e">
        <f>_xll.SUBNM("CONS_VC_PRD:ALL.D.Version","Sys.Report","L300","Descrição")</f>
        <v>#N/A</v>
      </c>
      <c r="AL6" s="85"/>
      <c r="AM6" s="113" t="e">
        <f>_xll.SUBNM("CONS_VC_PRD:ALL.D.Version","Sys.Report","RF","Descrição")</f>
        <v>#N/A</v>
      </c>
      <c r="AN6" s="85"/>
    </row>
    <row r="7" spans="2:40" ht="12.6" customHeight="1">
      <c r="B7" s="91"/>
      <c r="C7" s="116"/>
      <c r="D7" s="112"/>
      <c r="E7" s="112"/>
      <c r="F7" s="112"/>
      <c r="G7" s="112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104"/>
      <c r="AC7" s="117"/>
      <c r="AD7" s="91"/>
      <c r="AE7" s="91"/>
      <c r="AF7" s="91"/>
      <c r="AG7" s="91"/>
      <c r="AH7" s="91"/>
      <c r="AI7" s="91"/>
      <c r="AJ7" s="91"/>
      <c r="AK7" s="91"/>
      <c r="AL7" s="107"/>
      <c r="AM7" s="107"/>
      <c r="AN7" s="107"/>
    </row>
    <row r="8" spans="2:40" ht="15" customHeight="1" thickBot="1">
      <c r="B8" s="127"/>
      <c r="C8" s="133" t="s">
        <v>72</v>
      </c>
      <c r="D8" s="133"/>
      <c r="E8" s="133"/>
      <c r="F8" s="133"/>
      <c r="G8" s="133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AB8" s="127"/>
      <c r="AC8" s="133" t="s">
        <v>27</v>
      </c>
      <c r="AD8" s="133"/>
      <c r="AE8" s="133"/>
      <c r="AF8" s="127"/>
      <c r="AG8" s="127"/>
      <c r="AH8" s="127"/>
      <c r="AI8" s="127"/>
      <c r="AJ8" s="127"/>
      <c r="AK8" s="127"/>
      <c r="AL8" s="127"/>
      <c r="AM8" s="127"/>
      <c r="AN8" s="127"/>
    </row>
    <row r="28" spans="1:37">
      <c r="A28" s="27" t="e">
        <f>"Margin "&amp;$C$6
&amp;'EBITDA - Fx'!A10</f>
        <v>#N/A</v>
      </c>
      <c r="D28" s="193" t="e">
        <f>'EBITDA - Fx'!C21</f>
        <v>#VALUE!</v>
      </c>
      <c r="E28" s="194" t="e">
        <f>'EBITDA - Fx'!C22</f>
        <v>#VALUE!</v>
      </c>
      <c r="F28" s="195" t="e">
        <f>'EBITDA - Fx'!C23</f>
        <v>#VALUE!</v>
      </c>
      <c r="G28" s="196"/>
      <c r="H28" s="196"/>
      <c r="I28" s="193" t="e">
        <f>'EBITDA - Fx'!D21</f>
        <v>#VALUE!</v>
      </c>
      <c r="J28" s="194" t="e">
        <f>'EBITDA - Fx'!D22</f>
        <v>#VALUE!</v>
      </c>
      <c r="K28" s="195" t="e">
        <f>'EBITDA - Fx'!D23</f>
        <v>#VALUE!</v>
      </c>
      <c r="L28" s="196"/>
      <c r="M28" s="193" t="e">
        <f>'EBITDA - Fx'!E21</f>
        <v>#VALUE!</v>
      </c>
      <c r="N28" s="194" t="e">
        <f>'EBITDA - Fx'!E22</f>
        <v>#VALUE!</v>
      </c>
      <c r="O28" s="195" t="e">
        <f>'EBITDA - Fx'!E23</f>
        <v>#VALUE!</v>
      </c>
      <c r="P28" s="196"/>
      <c r="Q28" s="196"/>
      <c r="R28" s="193" t="e">
        <f>'EBITDA - Fx'!F21</f>
        <v>#VALUE!</v>
      </c>
      <c r="S28" s="194" t="e">
        <f>'EBITDA - Fx'!F22</f>
        <v>#VALUE!</v>
      </c>
      <c r="T28" s="195" t="e">
        <f>'EBITDA - Fx'!F23</f>
        <v>#VALUE!</v>
      </c>
      <c r="U28" s="1"/>
      <c r="V28" s="1"/>
      <c r="W28" s="1"/>
      <c r="X28" s="1"/>
      <c r="Y28" s="1"/>
      <c r="Z28" s="1"/>
      <c r="AA28" s="1"/>
      <c r="AB28" s="1"/>
      <c r="AC28" s="193" t="e">
        <f>'EBITDA - Fx'!K21</f>
        <v>#VALUE!</v>
      </c>
      <c r="AD28" s="194" t="e">
        <f>'EBITDA - Fx'!L21</f>
        <v>#VALUE!</v>
      </c>
      <c r="AE28" s="1"/>
      <c r="AF28" s="1"/>
      <c r="AG28" s="1"/>
      <c r="AH28" s="1"/>
      <c r="AI28" s="1"/>
      <c r="AJ28" s="1"/>
      <c r="AK28" s="195" t="e">
        <f>'EBITDA - Fx'!S21</f>
        <v>#VALUE!</v>
      </c>
    </row>
    <row r="30" spans="1:37" ht="15" thickBot="1"/>
    <row r="31" spans="1:37">
      <c r="C31" s="246"/>
      <c r="D31" s="246"/>
      <c r="E31" s="246"/>
      <c r="F31" s="246"/>
      <c r="G31" s="246"/>
      <c r="H31" s="246"/>
      <c r="I31" s="179"/>
      <c r="J31" s="180"/>
      <c r="K31" s="180"/>
      <c r="L31" s="180"/>
      <c r="M31" s="180"/>
      <c r="N31" s="250" t="e">
        <f>'EBITDA - Fx'!C28</f>
        <v>#N/A</v>
      </c>
      <c r="O31" s="250"/>
      <c r="P31" s="250" t="e">
        <f>'EBITDA - Fx'!D27</f>
        <v>#N/A</v>
      </c>
      <c r="Q31" s="250"/>
      <c r="R31" s="250" t="e">
        <f>'EBITDA - Fx'!E28</f>
        <v>#N/A</v>
      </c>
      <c r="S31" s="251"/>
      <c r="U31" s="249"/>
      <c r="V31" s="249"/>
    </row>
    <row r="32" spans="1:37">
      <c r="C32" s="246"/>
      <c r="D32" s="246"/>
      <c r="E32" s="246"/>
      <c r="F32" s="246"/>
      <c r="G32" s="246"/>
      <c r="H32" s="246"/>
      <c r="I32" s="242" t="s">
        <v>135</v>
      </c>
      <c r="J32" s="243"/>
      <c r="K32" s="243"/>
      <c r="L32" s="243"/>
      <c r="M32" s="243"/>
      <c r="N32" s="237" t="e">
        <f>'EBITDA - Fx'!C29</f>
        <v>#VALUE!</v>
      </c>
      <c r="O32" s="237"/>
      <c r="P32" s="237" t="e">
        <f>'EBITDA - Fx'!D29</f>
        <v>#VALUE!</v>
      </c>
      <c r="Q32" s="237"/>
      <c r="R32" s="237" t="e">
        <f>'EBITDA - Fx'!E29</f>
        <v>#VALUE!</v>
      </c>
      <c r="S32" s="238"/>
    </row>
    <row r="33" spans="3:19">
      <c r="C33" s="246"/>
      <c r="D33" s="246"/>
      <c r="E33" s="246"/>
      <c r="F33" s="246"/>
      <c r="G33" s="246"/>
      <c r="H33" s="246"/>
      <c r="I33" s="242" t="s">
        <v>121</v>
      </c>
      <c r="J33" s="243"/>
      <c r="K33" s="243"/>
      <c r="L33" s="243"/>
      <c r="M33" s="243"/>
      <c r="N33" s="237" t="e">
        <f>'EBITDA - Fx'!C30</f>
        <v>#VALUE!</v>
      </c>
      <c r="O33" s="237"/>
      <c r="P33" s="237" t="e">
        <f>'EBITDA - Fx'!D30</f>
        <v>#VALUE!</v>
      </c>
      <c r="Q33" s="237"/>
      <c r="R33" s="237" t="e">
        <f>'EBITDA - Fx'!E30</f>
        <v>#VALUE!</v>
      </c>
      <c r="S33" s="238"/>
    </row>
    <row r="34" spans="3:19">
      <c r="C34" s="246"/>
      <c r="D34" s="246"/>
      <c r="E34" s="246"/>
      <c r="F34" s="246"/>
      <c r="G34" s="246"/>
      <c r="H34" s="246"/>
      <c r="I34" s="242" t="s">
        <v>122</v>
      </c>
      <c r="J34" s="243"/>
      <c r="K34" s="243"/>
      <c r="L34" s="243"/>
      <c r="M34" s="243"/>
      <c r="N34" s="239" t="e">
        <f>'EBITDA - Fx'!C31</f>
        <v>#VALUE!</v>
      </c>
      <c r="O34" s="239"/>
      <c r="P34" s="239" t="e">
        <f>'EBITDA - Fx'!D31</f>
        <v>#VALUE!</v>
      </c>
      <c r="Q34" s="239"/>
      <c r="R34" s="239" t="e">
        <f>'EBITDA - Fx'!E31</f>
        <v>#VALUE!</v>
      </c>
      <c r="S34" s="240"/>
    </row>
    <row r="35" spans="3:19">
      <c r="I35" s="242" t="s">
        <v>128</v>
      </c>
      <c r="J35" s="243"/>
      <c r="K35" s="243"/>
      <c r="L35" s="243"/>
      <c r="M35" s="243"/>
      <c r="N35" s="239" t="e">
        <f>'EBITDA - Fx'!C32</f>
        <v>#VALUE!</v>
      </c>
      <c r="O35" s="239"/>
      <c r="P35" s="239" t="e">
        <f>'EBITDA - Fx'!D32</f>
        <v>#VALUE!</v>
      </c>
      <c r="Q35" s="239"/>
      <c r="R35" s="239" t="e">
        <f>'EBITDA - Fx'!E32</f>
        <v>#VALUE!</v>
      </c>
      <c r="S35" s="240"/>
    </row>
    <row r="36" spans="3:19">
      <c r="I36" s="242" t="s">
        <v>123</v>
      </c>
      <c r="J36" s="243"/>
      <c r="K36" s="243"/>
      <c r="L36" s="243"/>
      <c r="M36" s="192"/>
      <c r="N36" s="239" t="e">
        <f>'EBITDA - Fx'!C33</f>
        <v>#VALUE!</v>
      </c>
      <c r="O36" s="239"/>
      <c r="P36" s="239" t="e">
        <f>'EBITDA - Fx'!D33</f>
        <v>#VALUE!</v>
      </c>
      <c r="Q36" s="239"/>
      <c r="R36" s="239" t="e">
        <f>'EBITDA - Fx'!E33</f>
        <v>#VALUE!</v>
      </c>
      <c r="S36" s="240"/>
    </row>
    <row r="37" spans="3:19" ht="15" thickBot="1">
      <c r="I37" s="244" t="s">
        <v>124</v>
      </c>
      <c r="J37" s="245"/>
      <c r="K37" s="245"/>
      <c r="L37" s="245"/>
      <c r="M37" s="245"/>
      <c r="N37" s="236" t="e">
        <f>'EBITDA - Fx'!C34</f>
        <v>#VALUE!</v>
      </c>
      <c r="O37" s="236"/>
      <c r="P37" s="236" t="e">
        <f>'EBITDA - Fx'!D34</f>
        <v>#VALUE!</v>
      </c>
      <c r="Q37" s="236"/>
      <c r="R37" s="236" t="e">
        <f>'EBITDA - Fx'!E34</f>
        <v>#VALUE!</v>
      </c>
      <c r="S37" s="241"/>
    </row>
  </sheetData>
  <mergeCells count="34">
    <mergeCell ref="B1:R2"/>
    <mergeCell ref="C31:H34"/>
    <mergeCell ref="R6:U6"/>
    <mergeCell ref="X6:AA6"/>
    <mergeCell ref="C6:G6"/>
    <mergeCell ref="M6:O6"/>
    <mergeCell ref="U31:V31"/>
    <mergeCell ref="N31:O31"/>
    <mergeCell ref="P31:Q31"/>
    <mergeCell ref="R31:S31"/>
    <mergeCell ref="I32:M32"/>
    <mergeCell ref="I33:M33"/>
    <mergeCell ref="I34:M34"/>
    <mergeCell ref="I35:M35"/>
    <mergeCell ref="I36:L36"/>
    <mergeCell ref="I37:M37"/>
    <mergeCell ref="N32:O32"/>
    <mergeCell ref="N33:O33"/>
    <mergeCell ref="N34:O34"/>
    <mergeCell ref="N36:O36"/>
    <mergeCell ref="N35:O35"/>
    <mergeCell ref="N37:O37"/>
    <mergeCell ref="P37:Q37"/>
    <mergeCell ref="R32:S32"/>
    <mergeCell ref="R33:S33"/>
    <mergeCell ref="R34:S34"/>
    <mergeCell ref="R35:S35"/>
    <mergeCell ref="R36:S36"/>
    <mergeCell ref="R37:S37"/>
    <mergeCell ref="P32:Q32"/>
    <mergeCell ref="P33:Q33"/>
    <mergeCell ref="P34:Q34"/>
    <mergeCell ref="P35:Q35"/>
    <mergeCell ref="P36:Q36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9DEC-05C4-4ECE-88D4-61EB3A5AFFD0}">
  <sheetPr codeName="Planilha9"/>
  <dimension ref="A1:O34"/>
  <sheetViews>
    <sheetView workbookViewId="0">
      <selection activeCell="C27" sqref="C27:E27"/>
    </sheetView>
  </sheetViews>
  <sheetFormatPr defaultRowHeight="14.4"/>
  <cols>
    <col min="1" max="1" width="55.33203125" bestFit="1" customWidth="1"/>
    <col min="2" max="5" width="13.5546875" bestFit="1" customWidth="1"/>
  </cols>
  <sheetData>
    <row r="1" spans="1:15">
      <c r="A1" t="s">
        <v>126</v>
      </c>
    </row>
    <row r="2" spans="1:15">
      <c r="A2" t="s">
        <v>3</v>
      </c>
      <c r="B2" s="8"/>
    </row>
    <row r="3" spans="1:15">
      <c r="A3" s="9" t="s">
        <v>35</v>
      </c>
      <c r="B3" s="11" t="e">
        <f>'Net Income'!M6</f>
        <v>#N/A</v>
      </c>
    </row>
    <row r="4" spans="1:15">
      <c r="A4" s="9" t="s">
        <v>60</v>
      </c>
      <c r="B4" s="11" t="str">
        <f>_xll.SUBNM("CONS_VC:DFS.M.140.Indirect_Cash_Flow","","Total Value")</f>
        <v>Total Value</v>
      </c>
    </row>
    <row r="5" spans="1:15">
      <c r="A5" s="9" t="s">
        <v>61</v>
      </c>
      <c r="B5" t="e">
        <f>'Net Income'!$C$6</f>
        <v>#N/A</v>
      </c>
    </row>
    <row r="6" spans="1:15">
      <c r="A6" s="9" t="s">
        <v>36</v>
      </c>
      <c r="B6" t="e">
        <f>'Net Income'!X6</f>
        <v>#N/A</v>
      </c>
      <c r="G6" t="e">
        <f>$B$3-1</f>
        <v>#N/A</v>
      </c>
      <c r="H6" t="e">
        <f t="shared" ref="H6:O6" si="0">$B$3</f>
        <v>#N/A</v>
      </c>
      <c r="I6" t="e">
        <f t="shared" si="0"/>
        <v>#N/A</v>
      </c>
      <c r="J6" t="e">
        <f t="shared" si="0"/>
        <v>#N/A</v>
      </c>
      <c r="K6" t="e">
        <f t="shared" si="0"/>
        <v>#N/A</v>
      </c>
      <c r="L6" t="e">
        <f t="shared" si="0"/>
        <v>#N/A</v>
      </c>
      <c r="M6" t="e">
        <f t="shared" si="0"/>
        <v>#N/A</v>
      </c>
      <c r="N6" t="e">
        <f t="shared" si="0"/>
        <v>#N/A</v>
      </c>
      <c r="O6" t="e">
        <f t="shared" si="0"/>
        <v>#N/A</v>
      </c>
    </row>
    <row r="7" spans="1:15">
      <c r="A7" s="9" t="s">
        <v>37</v>
      </c>
      <c r="B7" t="e">
        <f>'Net Income'!R6</f>
        <v>#N/A</v>
      </c>
      <c r="G7" t="e">
        <f>$B$5</f>
        <v>#N/A</v>
      </c>
      <c r="H7" t="e">
        <f>$B$5</f>
        <v>#N/A</v>
      </c>
      <c r="I7" t="s">
        <v>69</v>
      </c>
      <c r="J7" t="s">
        <v>76</v>
      </c>
      <c r="K7" t="s">
        <v>70</v>
      </c>
      <c r="L7" t="s">
        <v>77</v>
      </c>
      <c r="M7" t="s">
        <v>78</v>
      </c>
      <c r="N7" t="s">
        <v>71</v>
      </c>
      <c r="O7" t="e">
        <f>$B$5</f>
        <v>#N/A</v>
      </c>
    </row>
    <row r="8" spans="1:15">
      <c r="A8" t="s">
        <v>98</v>
      </c>
      <c r="B8" t="str">
        <f>_xll.SUBNM("CONS_VC:All.d.Products","Default","Total Products")</f>
        <v>Total Products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</row>
    <row r="9" spans="1:15">
      <c r="B9" s="9" t="s">
        <v>55</v>
      </c>
      <c r="C9" s="9" t="s">
        <v>56</v>
      </c>
      <c r="D9" s="9" t="s">
        <v>57</v>
      </c>
      <c r="E9" s="9" t="s">
        <v>58</v>
      </c>
      <c r="G9" t="e">
        <f>$A$10</f>
        <v>#N/A</v>
      </c>
      <c r="H9" t="e">
        <f>$A$11</f>
        <v>#N/A</v>
      </c>
      <c r="I9" t="e">
        <f t="shared" ref="I9:O9" si="1">$A$12</f>
        <v>#N/A</v>
      </c>
      <c r="J9" t="e">
        <f t="shared" si="1"/>
        <v>#N/A</v>
      </c>
      <c r="K9" t="e">
        <f t="shared" si="1"/>
        <v>#N/A</v>
      </c>
      <c r="L9" t="e">
        <f t="shared" si="1"/>
        <v>#N/A</v>
      </c>
      <c r="M9" t="e">
        <f t="shared" si="1"/>
        <v>#N/A</v>
      </c>
      <c r="N9" t="e">
        <f t="shared" si="1"/>
        <v>#N/A</v>
      </c>
      <c r="O9" t="e">
        <f t="shared" si="1"/>
        <v>#N/A</v>
      </c>
    </row>
    <row r="10" spans="1:15">
      <c r="A10" t="e">
        <f>'Net Income'!$AI$6</f>
        <v>#N/A</v>
      </c>
      <c r="B10" s="48" t="e">
        <f>_xll.DBRW($A$2,$B$3,B$9,$A10,$B$6,$B$7,$B$8,$B$5,$B$4)</f>
        <v>#VALUE!</v>
      </c>
      <c r="C10" s="48" t="e">
        <f>_xll.DBRW($A$2,$B$3,C$9,$A10,$B$6,$B$7,$B$8,$B$5,$B$4)</f>
        <v>#VALUE!</v>
      </c>
      <c r="D10" s="48" t="e">
        <f>_xll.DBRW($A$2,$B$3,D$9,$A10,$B$6,$B$7,$B$8,$B$5,$B$4)</f>
        <v>#VALUE!</v>
      </c>
      <c r="E10" s="48" t="e">
        <f>_xll.DBRW($A$2,$B$3,E$9,$A10,$B$6,$B$7,$B$8,$B$5,$B$4)</f>
        <v>#VALUE!</v>
      </c>
      <c r="G10" t="e">
        <f t="shared" ref="G10:O10" si="2">$B$7</f>
        <v>#N/A</v>
      </c>
      <c r="H10" t="e">
        <f t="shared" si="2"/>
        <v>#N/A</v>
      </c>
      <c r="I10" t="e">
        <f t="shared" si="2"/>
        <v>#N/A</v>
      </c>
      <c r="J10" t="e">
        <f t="shared" si="2"/>
        <v>#N/A</v>
      </c>
      <c r="K10" t="e">
        <f t="shared" si="2"/>
        <v>#N/A</v>
      </c>
      <c r="L10" t="e">
        <f t="shared" si="2"/>
        <v>#N/A</v>
      </c>
      <c r="M10" t="e">
        <f t="shared" si="2"/>
        <v>#N/A</v>
      </c>
      <c r="N10" t="e">
        <f t="shared" si="2"/>
        <v>#N/A</v>
      </c>
      <c r="O10" t="e">
        <f t="shared" si="2"/>
        <v>#N/A</v>
      </c>
    </row>
    <row r="11" spans="1:15">
      <c r="A11" t="e">
        <f>'Net Income'!$AK$6</f>
        <v>#N/A</v>
      </c>
      <c r="B11" s="48" t="e">
        <f>_xll.DBRW($A$2,$B$3,B$9,$A11,$B$6,$B$7,$B$8,$B$5,$B$4)</f>
        <v>#VALUE!</v>
      </c>
      <c r="C11" s="48" t="e">
        <f>_xll.DBRW($A$2,$B$3,C$9,$A11,$B$6,$B$7,$B$8,$B$5,$B$4)</f>
        <v>#VALUE!</v>
      </c>
      <c r="D11" s="48" t="e">
        <f>_xll.DBRW($A$2,$B$3,D$9,$A11,$B$6,$B$7,$B$8,$B$5,$B$4)</f>
        <v>#VALUE!</v>
      </c>
      <c r="E11" s="48" t="e">
        <f>_xll.DBRW($A$2,$B$3,E$9,$A11,$B$6,$B$7,$B$8,$B$5,$B$4)</f>
        <v>#VALUE!</v>
      </c>
      <c r="G11" s="80" t="e">
        <f>B3-1</f>
        <v>#N/A</v>
      </c>
      <c r="H11" s="80" t="s">
        <v>30</v>
      </c>
      <c r="I11" s="80" t="s">
        <v>69</v>
      </c>
      <c r="J11" s="80" t="s">
        <v>104</v>
      </c>
      <c r="K11" s="80" t="s">
        <v>91</v>
      </c>
      <c r="L11" s="80" t="s">
        <v>77</v>
      </c>
      <c r="M11" s="80" t="s">
        <v>87</v>
      </c>
      <c r="N11" s="80" t="s">
        <v>71</v>
      </c>
      <c r="O11" s="80" t="s">
        <v>86</v>
      </c>
    </row>
    <row r="12" spans="1:15">
      <c r="A12" s="81" t="e">
        <f>'Net Income'!$AM$6</f>
        <v>#N/A</v>
      </c>
      <c r="B12" s="48" t="e">
        <f>_xll.DBRW($A$2,$B$3,B$9,$A12,$B$6,$B$7,$B$8,$B$5,$B$4)</f>
        <v>#VALUE!</v>
      </c>
      <c r="C12" s="48" t="e">
        <f>_xll.DBRW($A$2,$B$3,C$9,$A12,$B$6,$B$7,$B$8,$B$5,$B$4)</f>
        <v>#VALUE!</v>
      </c>
      <c r="D12" s="48" t="e">
        <f>_xll.DBRW($A$2,$B$3,D$9,$A12,$B$6,$B$7,$B$8,$B$5,$B$4)</f>
        <v>#VALUE!</v>
      </c>
      <c r="E12" s="48" t="e">
        <f>_xll.DBRW($A$2,$B$3,E$9,$A12,$B$6,$B$7,$B$8,$B$5,$B$4)</f>
        <v>#VALUE!</v>
      </c>
      <c r="G12" s="48" t="e">
        <f>_xll.DBRW($A$2,G$6,G$8,G9,$B$6,G$10,$B$8,G$7,$B$4)</f>
        <v>#VALUE!</v>
      </c>
      <c r="H12" s="48" t="e">
        <f>_xll.DBRW($A$2,H$6,H$8,H9,$B$6,H$10,$B$8,H$7,$B$4)</f>
        <v>#VALUE!</v>
      </c>
      <c r="I12" s="48" t="e">
        <f>_xll.DBRW($A$2,I$6,I$8,I9,$B$6,I$10,$B$8,I$7,$B$4)</f>
        <v>#VALUE!</v>
      </c>
      <c r="J12" s="48" t="e">
        <f>_xll.DBRW($A$2,J$6,J$8,J9,$B$6,J$10,$B$8,J$7,$B$4)</f>
        <v>#VALUE!</v>
      </c>
      <c r="K12" s="48" t="e">
        <f>_xll.DBRW($A$2,K$6,K$8,K9,$B$6,K$10,$B$8,K$7,$B$4)</f>
        <v>#VALUE!</v>
      </c>
      <c r="L12" s="48" t="e">
        <f>_xll.DBRW($A$2,L$6,L$8,L9,$B$6,L$10,$B$8,L$7,$B$4)</f>
        <v>#VALUE!</v>
      </c>
      <c r="M12" s="48" t="e">
        <f>_xll.DBRW($A$2,M$6,M$8,M9,$B$6,M$10,$B$8,M$7,$B$4)</f>
        <v>#VALUE!</v>
      </c>
      <c r="N12" s="48" t="e">
        <f>_xll.DBRW($A$2,N$6,N$8,N9,$B$6,N$10,$B$8,N$7,$B$4)</f>
        <v>#VALUE!</v>
      </c>
      <c r="O12" s="48" t="e">
        <f>_xll.DBRW($A$2,O$6,O$8,O9,$B$6,O$10,$B$8,B$5,$B$4)</f>
        <v>#VALUE!</v>
      </c>
    </row>
    <row r="19" spans="1:15" ht="15" thickBot="1"/>
    <row r="20" spans="1:15" ht="15" thickBot="1">
      <c r="A20" s="42" t="s">
        <v>116</v>
      </c>
      <c r="B20" s="43"/>
      <c r="C20" s="30" t="s">
        <v>55</v>
      </c>
      <c r="D20" s="30" t="s">
        <v>56</v>
      </c>
      <c r="E20" s="30" t="s">
        <v>57</v>
      </c>
      <c r="F20" s="31" t="s">
        <v>58</v>
      </c>
    </row>
    <row r="21" spans="1:15" ht="15" thickBot="1">
      <c r="A21" t="e">
        <f>EBITDA!$AI$6</f>
        <v>#N/A</v>
      </c>
      <c r="B21" s="34" t="e">
        <f>G6</f>
        <v>#N/A</v>
      </c>
      <c r="C21" s="183" t="e">
        <f>_xll.DBRW($A$2,$B21,C$20,$A21,$B$6,$B$7,$B$8,$B$5,$B$4)/_xll.DBRW($A$2,$B21,C$20,$A21,$B$6,$B$7,$B$8,$A$20,$B$4)</f>
        <v>#VALUE!</v>
      </c>
      <c r="D21" s="183" t="e">
        <f>_xll.DBRW($A$2,$B21,D$20,$A21,$B$6,$B$7,$B$8,$B$5,$B$4)/_xll.DBRW($A$2,$B21,D$20,$A21,$B$6,$B$7,$B$8,$A$20,$B$4)</f>
        <v>#VALUE!</v>
      </c>
      <c r="E21" s="183" t="e">
        <f>_xll.DBRW($A$2,$B21,E$20,$A21,$B$6,$B$7,$B$8,$B$5,$B$4)/_xll.DBRW($A$2,$B21,E$20,$A21,$B$6,$B$7,$B$8,$A$20,$B$4)</f>
        <v>#VALUE!</v>
      </c>
      <c r="F21" s="183" t="e">
        <f>_xll.DBRW($A$2,$B21,F$20,$A21,$B$6,$B$7,$B$8,$B$5,$B$4)/_xll.DBRW($A$2,$B21,F$20,$A21,$B$6,$B$7,$B$8,$A$20,$B$4)</f>
        <v>#VALUE!</v>
      </c>
      <c r="G21" s="183" t="e">
        <f>_xll.DBRW($A$2,$B21,G$8,$A21,$B$6,$B$7,$B$8,$B$5,$B$4)/_xll.DBRW($A$2,$B21,G$8,$A21,$B$6,$B$7,$B$8,$A$20,$B$4)</f>
        <v>#VALUE!</v>
      </c>
      <c r="H21" s="183" t="e">
        <f>_xll.DBRW($A$2,$B22,H$8,$A22,$B$6,$B$7,$B$8,$B$5,$B$4)/_xll.DBRW($A$2,$B22,H$8,$A22,$B$6,$B$7,$B$8,$A$20,$B$4)</f>
        <v>#VALUE!</v>
      </c>
      <c r="I21" s="183"/>
      <c r="J21" s="183"/>
      <c r="K21" s="183"/>
      <c r="L21" s="183"/>
      <c r="M21" s="183"/>
      <c r="N21" s="183"/>
      <c r="O21" s="183" t="e">
        <f>_xll.DBRW($A$2,$B23,O$8,$A23,$B$6,$B$7,$B$8,$B$5,$B$4)/_xll.DBRW($A$2,$B23,O$8,$A23,$B$6,$B$7,$B$8,$A$20,$B$4)</f>
        <v>#VALUE!</v>
      </c>
    </row>
    <row r="22" spans="1:15" ht="15" thickBot="1">
      <c r="A22" s="32" t="e">
        <f>EBITDA!$AK$6</f>
        <v>#N/A</v>
      </c>
      <c r="B22" s="34" t="e">
        <f>I6</f>
        <v>#N/A</v>
      </c>
      <c r="C22" s="183" t="e">
        <f>_xll.DBRW($A$2,$B22,C$20,$A22,$B$6,$B$7,$B$8,$B$5,$B$4)/_xll.DBRW($A$2,$B22,C$20,$A22,$B$6,$B$7,$B$8,$A$20,$B$4)</f>
        <v>#VALUE!</v>
      </c>
      <c r="D22" s="183" t="e">
        <f>_xll.DBRW($A$2,$B22,D$20,$A22,$B$6,$B$7,$B$8,$B$5,$B$4)/_xll.DBRW($A$2,$B22,D$20,$A22,$B$6,$B$7,$B$8,$A$20,$B$4)</f>
        <v>#VALUE!</v>
      </c>
      <c r="E22" s="183" t="e">
        <f>_xll.DBRW($A$2,$B22,E$20,$A22,$B$6,$B$7,$B$8,$B$5,$B$4)/_xll.DBRW($A$2,$B22,E$20,$A22,$B$6,$B$7,$B$8,$A$20,$B$4)</f>
        <v>#VALUE!</v>
      </c>
      <c r="F22" s="183" t="e">
        <f>_xll.DBRW($A$2,$B22,F$20,$A22,$B$6,$B$7,$B$8,$B$5,$B$4)/_xll.DBRW($A$2,$B22,F$20,$A22,$B$6,$B$7,$B$8,$A$20,$B$4)</f>
        <v>#VALUE!</v>
      </c>
    </row>
    <row r="23" spans="1:15" ht="15" thickBot="1">
      <c r="A23" s="33" t="e">
        <f>EBITDA!$AM$6</f>
        <v>#N/A</v>
      </c>
      <c r="B23" s="34" t="e">
        <f>I6</f>
        <v>#N/A</v>
      </c>
      <c r="C23" s="183" t="e">
        <f>_xll.DBRW($A$2,$B23,C$20,$A23,$B$6,$B$7,$B$8,$B$5,$B$4)/_xll.DBRW($A$2,$B23,C$20,$A23,$B$6,$B$7,$B$8,$A$20,$B$4)</f>
        <v>#VALUE!</v>
      </c>
      <c r="D23" s="183" t="e">
        <f>_xll.DBRW($A$2,$B23,D$20,$A23,$B$6,$B$7,$B$8,$B$5,$B$4)/_xll.DBRW($A$2,$B23,D$20,$A23,$B$6,$B$7,$B$8,$A$20,$B$4)</f>
        <v>#VALUE!</v>
      </c>
      <c r="E23" s="183" t="e">
        <f>_xll.DBRW($A$2,$B23,E$20,$A23,$B$6,$B$7,$B$8,$B$5,$B$4)/_xll.DBRW($A$2,$B23,E$20,$A23,$B$6,$B$7,$B$8,$A$20,$B$4)</f>
        <v>#VALUE!</v>
      </c>
      <c r="F23" s="183" t="e">
        <f>_xll.DBRW($A$2,$B23,F$20,$A23,$B$6,$B$7,$B$8,$B$5,$B$4)/_xll.DBRW($A$2,$B23,F$20,$A23,$B$6,$B$7,$B$8,$A$20,$B$4)</f>
        <v>#VALUE!</v>
      </c>
    </row>
    <row r="27" spans="1:15" ht="15" thickBot="1">
      <c r="C27" s="184" t="s">
        <v>54</v>
      </c>
      <c r="D27" s="184" t="s">
        <v>54</v>
      </c>
      <c r="E27" s="184" t="s">
        <v>54</v>
      </c>
    </row>
    <row r="28" spans="1:15" ht="15" thickBot="1">
      <c r="A28" t="s">
        <v>125</v>
      </c>
      <c r="C28" s="201" t="e">
        <f>A10</f>
        <v>#N/A</v>
      </c>
      <c r="D28" s="201" t="e">
        <f>A11</f>
        <v>#N/A</v>
      </c>
      <c r="E28" s="186" t="e">
        <f>A12</f>
        <v>#N/A</v>
      </c>
      <c r="L28" s="199"/>
      <c r="M28" s="199"/>
      <c r="N28" s="199"/>
      <c r="O28" s="199"/>
    </row>
    <row r="29" spans="1:15" ht="15" thickBot="1">
      <c r="C29" s="208" t="e">
        <f>G6</f>
        <v>#N/A</v>
      </c>
      <c r="D29" s="209" t="e">
        <f>H6</f>
        <v>#N/A</v>
      </c>
      <c r="E29" s="210" t="e">
        <f>H6</f>
        <v>#N/A</v>
      </c>
      <c r="L29" s="199"/>
      <c r="M29" s="199"/>
      <c r="N29" s="199"/>
      <c r="O29" s="199"/>
    </row>
    <row r="30" spans="1:15">
      <c r="A30" s="202" t="s">
        <v>19</v>
      </c>
      <c r="B30" s="180"/>
      <c r="C30" s="206" t="e">
        <f>_xll.DBRW($A$2,C$29,C$27,C$28,$B$6,$A30,$B$8,$B$5,$B$4)</f>
        <v>#VALUE!</v>
      </c>
      <c r="D30" s="48" t="e">
        <f>_xll.DBRW($A$2,D$29,D$27,D$28,$B$6,$A30,$B$8,$B$5,$B$4)</f>
        <v>#VALUE!</v>
      </c>
      <c r="E30" s="203" t="e">
        <f>_xll.DBRW($A$2,E$29,E$27,E$28,$B$6,$A30,$B$8,$B$5,$B$4)</f>
        <v>#VALUE!</v>
      </c>
      <c r="L30" s="199"/>
      <c r="M30" s="199"/>
      <c r="N30" s="199"/>
      <c r="O30" s="199"/>
    </row>
    <row r="31" spans="1:15">
      <c r="A31" s="198" t="s">
        <v>20</v>
      </c>
      <c r="C31" s="206" t="e">
        <f>_xll.DBRW($A$2,C$29,C$27,C$28,$B$6,$A31,$B$8,$B$5,$B$4)</f>
        <v>#VALUE!</v>
      </c>
      <c r="D31" s="48" t="e">
        <f>_xll.DBRW($A$2,D$29,D$27,D$28,$B$6,$A31,$B$8,$B$5,$B$4)</f>
        <v>#VALUE!</v>
      </c>
      <c r="E31" s="203" t="e">
        <f>_xll.DBRW($A$2,E$29,E$27,E$28,$B$6,$A31,$B$8,$B$5,$B$4)</f>
        <v>#VALUE!</v>
      </c>
      <c r="L31" s="199"/>
      <c r="M31" s="199"/>
      <c r="N31" s="199"/>
      <c r="O31" s="199"/>
    </row>
    <row r="32" spans="1:15">
      <c r="A32" s="198" t="s">
        <v>33</v>
      </c>
      <c r="C32" s="206" t="e">
        <f>_xll.DBRW($A$2,C$29,C$27,C$28,$B$6,$A32,$B$8,$B$5,$B$4)</f>
        <v>#VALUE!</v>
      </c>
      <c r="D32" s="48" t="e">
        <f>_xll.DBRW($A$2,D$29,D$27,D$28,$B$6,$A32,$B$8,$B$5,$B$4)</f>
        <v>#VALUE!</v>
      </c>
      <c r="E32" s="203" t="e">
        <f>_xll.DBRW($A$2,E$29,E$27,E$28,$B$6,$A32,$B$8,$B$5,$B$4)</f>
        <v>#VALUE!</v>
      </c>
      <c r="L32" s="199"/>
      <c r="M32" s="199"/>
      <c r="N32" s="199"/>
      <c r="O32" s="192"/>
    </row>
    <row r="33" spans="1:5">
      <c r="A33" s="198" t="s">
        <v>22</v>
      </c>
      <c r="C33" s="206" t="e">
        <f>_xll.DBRW($A$2,C$29,C$27,C$28,$B$6,$A33,$B$8,$B$5,$B$4)</f>
        <v>#VALUE!</v>
      </c>
      <c r="D33" s="48" t="e">
        <f>_xll.DBRW($A$2,D$29,D$27,D$28,$B$6,$A33,$B$8,$B$5,$B$4)</f>
        <v>#VALUE!</v>
      </c>
      <c r="E33" s="203" t="e">
        <f>_xll.DBRW($A$2,E$29,E$27,E$28,$B$6,$A33,$B$8,$B$5,$B$4)</f>
        <v>#VALUE!</v>
      </c>
    </row>
    <row r="34" spans="1:5" ht="15" thickBot="1">
      <c r="A34" s="200" t="s">
        <v>130</v>
      </c>
      <c r="B34" s="182"/>
      <c r="C34" s="207" t="e">
        <f>_xll.DBRW($A$2,C$29,C$27,C$28,$B$6,$A34,$B$8,$B$5,$B$4)</f>
        <v>#VALUE!</v>
      </c>
      <c r="D34" s="204" t="e">
        <f>_xll.DBRW($A$2,D$29,D$27,D$28,$B$6,$A34,$B$8,$B$5,$B$4)</f>
        <v>#VALUE!</v>
      </c>
      <c r="E34" s="205" t="e">
        <f>_xll.DBRW($A$2,E$29,E$27,E$28,$B$6,$A34,$B$8,$B$5,$B$4)</f>
        <v>#VALUE!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B30D-51F1-49D3-A8D9-A23F4F3E7F0C}">
  <sheetPr codeName="Planilha10"/>
  <dimension ref="A1:AN37"/>
  <sheetViews>
    <sheetView showGridLines="0" workbookViewId="0">
      <selection activeCell="AA32" sqref="AA32"/>
    </sheetView>
  </sheetViews>
  <sheetFormatPr defaultRowHeight="14.4"/>
  <cols>
    <col min="1" max="1" width="5.6640625" customWidth="1"/>
    <col min="2" max="27" width="4.33203125" customWidth="1"/>
  </cols>
  <sheetData>
    <row r="1" spans="2:40" ht="15.6" customHeight="1">
      <c r="B1" s="226" t="s">
        <v>105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</row>
    <row r="2" spans="2:40" ht="15.6" customHeight="1"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2:40" ht="15.6" customHeight="1"/>
    <row r="4" spans="2:40" ht="5.4" customHeight="1">
      <c r="B4" s="89"/>
      <c r="C4" s="89"/>
      <c r="D4" s="118"/>
      <c r="E4" s="118"/>
      <c r="F4" s="118"/>
      <c r="G4" s="118"/>
      <c r="H4" s="118"/>
      <c r="I4" s="118"/>
      <c r="J4" s="118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</row>
    <row r="5" spans="2:40" ht="12" customHeight="1"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94"/>
      <c r="AN5" s="94"/>
    </row>
    <row r="6" spans="2:40" ht="21.6" customHeight="1">
      <c r="B6" s="132"/>
      <c r="C6" s="252" t="e">
        <f>_xll.SUBNM("CONS_VC_PRD:DFS.D.Accounts_Pnl","Default","Net Profit")</f>
        <v>#N/A</v>
      </c>
      <c r="D6" s="252"/>
      <c r="E6" s="252"/>
      <c r="F6" s="252"/>
      <c r="G6" s="252"/>
      <c r="H6" s="132"/>
      <c r="I6" s="132"/>
      <c r="J6" s="132"/>
      <c r="K6" s="114"/>
      <c r="L6" s="114"/>
      <c r="M6" s="248" t="e">
        <f>_xll.SUBNM("CONS_VC_PRD:ALL.D.Year","","2025")</f>
        <v>#N/A</v>
      </c>
      <c r="N6" s="248"/>
      <c r="O6" s="248"/>
      <c r="P6" s="85"/>
      <c r="Q6" s="85"/>
      <c r="R6" s="253" t="e">
        <f>_xll.SUBNM("CONS_VC_PRD:ALL.D.Region","Default","Global")</f>
        <v>#N/A</v>
      </c>
      <c r="S6" s="247"/>
      <c r="T6" s="247"/>
      <c r="U6" s="247"/>
      <c r="V6" s="85"/>
      <c r="W6" s="85"/>
      <c r="X6" s="247" t="e">
        <f>_xll.SUBNM("CONS_VC_PRD:ALL.D.Currency","","BRL Conv.")</f>
        <v>#N/A</v>
      </c>
      <c r="Y6" s="247"/>
      <c r="Z6" s="247"/>
      <c r="AA6" s="247"/>
      <c r="AB6" s="102"/>
      <c r="AC6" s="114"/>
      <c r="AD6" s="114"/>
      <c r="AE6" s="114"/>
      <c r="AF6" s="114"/>
      <c r="AG6" s="102"/>
      <c r="AH6" s="85"/>
      <c r="AI6" s="113" t="e">
        <f>_xll.SUBNM("CONS_VC_PRD:ALL.D.Version","Sys.Report","Actual","Descrição")</f>
        <v>#N/A</v>
      </c>
      <c r="AJ6" s="85"/>
      <c r="AK6" s="113" t="e">
        <f>_xll.SUBNM("CONS_VC_PRD:ALL.D.Version","Sys.Report","L300","Descrição")</f>
        <v>#N/A</v>
      </c>
      <c r="AL6" s="85"/>
      <c r="AM6" s="113" t="e">
        <f>_xll.SUBNM("CONS_VC_PRD:ALL.D.Version","Sys.Report","RF","Descrição")</f>
        <v>#N/A</v>
      </c>
      <c r="AN6" s="121"/>
    </row>
    <row r="7" spans="2:40" ht="12" customHeight="1">
      <c r="B7" s="119"/>
      <c r="C7" s="91"/>
      <c r="D7" s="119"/>
      <c r="E7" s="120"/>
      <c r="F7" s="119"/>
      <c r="G7" s="119"/>
      <c r="H7" s="119"/>
      <c r="I7" s="119"/>
      <c r="J7" s="119"/>
      <c r="K7" s="119"/>
      <c r="L7" s="119"/>
      <c r="M7" s="119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120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</row>
    <row r="8" spans="2:40" ht="15.6" customHeight="1" thickBot="1">
      <c r="B8" s="127"/>
      <c r="C8" s="133" t="s">
        <v>73</v>
      </c>
      <c r="D8" s="133"/>
      <c r="E8" s="133"/>
      <c r="F8" s="133"/>
      <c r="G8" s="133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AC8" s="133" t="s">
        <v>27</v>
      </c>
      <c r="AD8" s="133"/>
      <c r="AE8" s="133"/>
      <c r="AF8" s="127"/>
      <c r="AG8" s="127"/>
      <c r="AH8" s="127"/>
      <c r="AI8" s="127"/>
      <c r="AJ8" s="127"/>
      <c r="AK8" s="127"/>
      <c r="AL8" s="127"/>
      <c r="AM8" s="127"/>
      <c r="AN8" s="127"/>
    </row>
    <row r="14" spans="2:40" ht="15" customHeight="1"/>
    <row r="25" spans="1:37">
      <c r="E25" s="15"/>
      <c r="F25" s="16"/>
      <c r="G25" s="17"/>
      <c r="H25" s="14"/>
      <c r="I25" s="14"/>
      <c r="J25" s="15"/>
      <c r="K25" s="16"/>
      <c r="L25" s="17"/>
      <c r="M25" s="14"/>
      <c r="N25" s="15"/>
      <c r="O25" s="16"/>
      <c r="P25" s="17"/>
      <c r="Q25" s="14"/>
      <c r="R25" s="14"/>
      <c r="S25" s="15"/>
      <c r="T25" s="16"/>
      <c r="U25" s="17"/>
    </row>
    <row r="28" spans="1:37">
      <c r="A28" s="27" t="e">
        <f>"Margin "&amp;$C$6
&amp;'Net Income - Fx'!A10</f>
        <v>#N/A</v>
      </c>
      <c r="E28" s="193" t="e">
        <f>'Net Income - Fx'!C21</f>
        <v>#VALUE!</v>
      </c>
      <c r="F28" s="194" t="e">
        <f>'Net Income - Fx'!C22</f>
        <v>#VALUE!</v>
      </c>
      <c r="G28" s="195" t="e">
        <f>'Net Income - Fx'!C23</f>
        <v>#VALUE!</v>
      </c>
      <c r="H28" s="196"/>
      <c r="J28" s="193" t="e">
        <f>'Net Income - Fx'!D21</f>
        <v>#VALUE!</v>
      </c>
      <c r="K28" s="194" t="e">
        <f>'Net Income - Fx'!D22</f>
        <v>#VALUE!</v>
      </c>
      <c r="L28" s="195" t="e">
        <f>'Net Income - Fx'!D23</f>
        <v>#VALUE!</v>
      </c>
      <c r="N28" s="211" t="e">
        <f>'Net Income - Fx'!E21</f>
        <v>#VALUE!</v>
      </c>
      <c r="O28" s="212" t="e">
        <f>'Net Income - Fx'!E22</f>
        <v>#VALUE!</v>
      </c>
      <c r="P28" s="213" t="e">
        <f>'Net Income - Fx'!E23</f>
        <v>#VALUE!</v>
      </c>
      <c r="Q28" s="196"/>
      <c r="S28" s="193" t="e">
        <f>'Net Income - Fx'!F21</f>
        <v>#VALUE!</v>
      </c>
      <c r="T28" s="194" t="e">
        <f>'Net Income - Fx'!F22</f>
        <v>#VALUE!</v>
      </c>
      <c r="U28" s="195" t="e">
        <f>'Net Income - Fx'!F23</f>
        <v>#VALUE!</v>
      </c>
      <c r="AC28" s="193" t="e">
        <f>'Net Income - Fx'!G21</f>
        <v>#VALUE!</v>
      </c>
      <c r="AD28" s="194" t="e">
        <f>'Net Income - Fx'!H21</f>
        <v>#VALUE!</v>
      </c>
      <c r="AK28" s="195" t="e">
        <f>'Net Income - Fx'!O21</f>
        <v>#VALUE!</v>
      </c>
    </row>
    <row r="30" spans="1:37" ht="15" thickBot="1">
      <c r="D30" s="51"/>
      <c r="E30" s="51"/>
      <c r="F30" s="51"/>
      <c r="G30" s="51"/>
      <c r="H30" s="51"/>
      <c r="I30" s="51"/>
    </row>
    <row r="31" spans="1:37">
      <c r="D31" s="51"/>
      <c r="E31" s="51"/>
      <c r="F31" s="51"/>
      <c r="G31" s="51"/>
      <c r="H31" s="51"/>
      <c r="I31" s="179"/>
      <c r="J31" s="180"/>
      <c r="K31" s="180"/>
      <c r="L31" s="180"/>
      <c r="M31" s="180"/>
      <c r="N31" s="250" t="e">
        <f>'Net Income - Fx'!C29</f>
        <v>#N/A</v>
      </c>
      <c r="O31" s="250"/>
      <c r="P31" s="250" t="e">
        <f>'Net Income - Fx'!D28</f>
        <v>#N/A</v>
      </c>
      <c r="Q31" s="250"/>
      <c r="R31" s="250" t="e">
        <f>'Net Income - Fx'!E29</f>
        <v>#N/A</v>
      </c>
      <c r="S31" s="251"/>
    </row>
    <row r="32" spans="1:37">
      <c r="D32" s="51"/>
      <c r="E32" s="51"/>
      <c r="F32" s="51"/>
      <c r="G32" s="51"/>
      <c r="H32" s="51"/>
      <c r="I32" s="242" t="s">
        <v>19</v>
      </c>
      <c r="J32" s="243"/>
      <c r="K32" s="243"/>
      <c r="L32" s="243"/>
      <c r="M32" s="243"/>
      <c r="N32" s="237" t="e">
        <f>'Net Income - Fx'!C30</f>
        <v>#VALUE!</v>
      </c>
      <c r="O32" s="237"/>
      <c r="P32" s="237" t="e">
        <f>'Net Income - Fx'!D30</f>
        <v>#VALUE!</v>
      </c>
      <c r="Q32" s="237"/>
      <c r="R32" s="237" t="e">
        <f>'Net Income - Fx'!E30</f>
        <v>#VALUE!</v>
      </c>
      <c r="S32" s="238"/>
    </row>
    <row r="33" spans="4:19">
      <c r="D33" s="51"/>
      <c r="E33" s="51"/>
      <c r="F33" s="51"/>
      <c r="G33" s="51"/>
      <c r="H33" s="51"/>
      <c r="I33" s="242" t="s">
        <v>20</v>
      </c>
      <c r="J33" s="243"/>
      <c r="K33" s="243"/>
      <c r="L33" s="243"/>
      <c r="M33" s="243"/>
      <c r="N33" s="237" t="e">
        <f>'Net Income - Fx'!C31</f>
        <v>#VALUE!</v>
      </c>
      <c r="O33" s="237"/>
      <c r="P33" s="237" t="e">
        <f>'Net Income - Fx'!D31</f>
        <v>#VALUE!</v>
      </c>
      <c r="Q33" s="237"/>
      <c r="R33" s="237" t="e">
        <f>'Net Income - Fx'!E31</f>
        <v>#VALUE!</v>
      </c>
      <c r="S33" s="238"/>
    </row>
    <row r="34" spans="4:19">
      <c r="I34" s="242" t="s">
        <v>21</v>
      </c>
      <c r="J34" s="243"/>
      <c r="K34" s="243"/>
      <c r="L34" s="243"/>
      <c r="M34" s="243"/>
      <c r="N34" s="237" t="e">
        <f>'Net Income - Fx'!C32</f>
        <v>#VALUE!</v>
      </c>
      <c r="O34" s="237"/>
      <c r="P34" s="237" t="e">
        <f>'Net Income - Fx'!D32</f>
        <v>#VALUE!</v>
      </c>
      <c r="Q34" s="237"/>
      <c r="R34" s="237" t="e">
        <f>'Net Income - Fx'!E32</f>
        <v>#VALUE!</v>
      </c>
      <c r="S34" s="238"/>
    </row>
    <row r="35" spans="4:19">
      <c r="I35" s="242" t="s">
        <v>22</v>
      </c>
      <c r="J35" s="243"/>
      <c r="K35" s="243"/>
      <c r="L35" s="243"/>
      <c r="M35" s="243"/>
      <c r="N35" s="237" t="e">
        <f>'Net Income - Fx'!C33</f>
        <v>#VALUE!</v>
      </c>
      <c r="O35" s="237"/>
      <c r="P35" s="237" t="e">
        <f>'Net Income - Fx'!D33</f>
        <v>#VALUE!</v>
      </c>
      <c r="Q35" s="237"/>
      <c r="R35" s="237" t="e">
        <f>'Net Income - Fx'!E33</f>
        <v>#VALUE!</v>
      </c>
      <c r="S35" s="238"/>
    </row>
    <row r="36" spans="4:19" ht="15" thickBot="1">
      <c r="I36" s="244" t="s">
        <v>129</v>
      </c>
      <c r="J36" s="245"/>
      <c r="K36" s="245"/>
      <c r="L36" s="245"/>
      <c r="M36" s="197"/>
      <c r="N36" s="236" t="e">
        <f>'Net Income - Fx'!C34</f>
        <v>#VALUE!</v>
      </c>
      <c r="O36" s="236"/>
      <c r="P36" s="236" t="e">
        <f>'Net Income - Fx'!D34</f>
        <v>#VALUE!</v>
      </c>
      <c r="Q36" s="236"/>
      <c r="R36" s="236" t="e">
        <f>'Net Income - Fx'!E34</f>
        <v>#VALUE!</v>
      </c>
      <c r="S36" s="241"/>
    </row>
    <row r="37" spans="4:19">
      <c r="I37" s="243"/>
      <c r="J37" s="243"/>
      <c r="K37" s="243"/>
      <c r="L37" s="243"/>
      <c r="M37" s="243"/>
      <c r="N37" s="237"/>
      <c r="O37" s="237"/>
      <c r="P37" s="237"/>
      <c r="Q37" s="237"/>
      <c r="R37" s="237"/>
      <c r="S37" s="237"/>
    </row>
  </sheetData>
  <mergeCells count="32">
    <mergeCell ref="N31:O31"/>
    <mergeCell ref="P31:Q31"/>
    <mergeCell ref="R31:S31"/>
    <mergeCell ref="I32:M32"/>
    <mergeCell ref="N32:O32"/>
    <mergeCell ref="P32:Q32"/>
    <mergeCell ref="R32:S32"/>
    <mergeCell ref="B1:S2"/>
    <mergeCell ref="C6:G6"/>
    <mergeCell ref="X6:AA6"/>
    <mergeCell ref="R6:U6"/>
    <mergeCell ref="M6:O6"/>
    <mergeCell ref="P33:Q33"/>
    <mergeCell ref="R33:S33"/>
    <mergeCell ref="I34:M34"/>
    <mergeCell ref="N34:O34"/>
    <mergeCell ref="P34:Q34"/>
    <mergeCell ref="R34:S34"/>
    <mergeCell ref="I33:M33"/>
    <mergeCell ref="N33:O33"/>
    <mergeCell ref="I37:M37"/>
    <mergeCell ref="N37:O37"/>
    <mergeCell ref="P37:Q37"/>
    <mergeCell ref="R37:S37"/>
    <mergeCell ref="I35:M35"/>
    <mergeCell ref="N35:O35"/>
    <mergeCell ref="P35:Q35"/>
    <mergeCell ref="R35:S35"/>
    <mergeCell ref="I36:L36"/>
    <mergeCell ref="N36:O36"/>
    <mergeCell ref="P36:Q36"/>
    <mergeCell ref="R36:S36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7098-DA37-41AD-BBCC-928B82E90C60}">
  <sheetPr codeName="Planilha11"/>
  <dimension ref="A1:Q19"/>
  <sheetViews>
    <sheetView workbookViewId="0">
      <selection activeCell="B2" sqref="B2"/>
    </sheetView>
  </sheetViews>
  <sheetFormatPr defaultRowHeight="14.4"/>
  <cols>
    <col min="1" max="1" width="55.33203125" bestFit="1" customWidth="1"/>
    <col min="2" max="5" width="13.5546875" bestFit="1" customWidth="1"/>
  </cols>
  <sheetData>
    <row r="1" spans="1:17">
      <c r="A1" t="s">
        <v>4</v>
      </c>
      <c r="B1" s="8"/>
    </row>
    <row r="2" spans="1:17">
      <c r="A2" s="9" t="s">
        <v>35</v>
      </c>
      <c r="B2" s="11" t="e">
        <f>'Cash Generation'!O6</f>
        <v>#N/A</v>
      </c>
    </row>
    <row r="3" spans="1:17">
      <c r="A3" s="9" t="s">
        <v>60</v>
      </c>
      <c r="B3" s="11" t="str">
        <f>_xll.SUBNM("CONS_VC:DFS.M.140.Indirect_Cash_Flow","","Total Value")</f>
        <v>Total Value</v>
      </c>
    </row>
    <row r="4" spans="1:17">
      <c r="A4" s="9" t="s">
        <v>61</v>
      </c>
      <c r="B4" t="e">
        <f>'Cash Generation'!C$6</f>
        <v>#N/A</v>
      </c>
    </row>
    <row r="5" spans="1:17">
      <c r="A5" s="9" t="s">
        <v>36</v>
      </c>
      <c r="B5" t="e">
        <f>'Cash Generation'!X6</f>
        <v>#N/A</v>
      </c>
      <c r="G5" t="e">
        <f>$B$2-1</f>
        <v>#N/A</v>
      </c>
      <c r="H5" t="e">
        <f>$B$2</f>
        <v>#N/A</v>
      </c>
      <c r="I5" t="e">
        <f t="shared" ref="I5:Q5" si="0">$B$2</f>
        <v>#N/A</v>
      </c>
      <c r="J5" t="e">
        <f t="shared" si="0"/>
        <v>#N/A</v>
      </c>
      <c r="K5" t="e">
        <f t="shared" si="0"/>
        <v>#N/A</v>
      </c>
      <c r="L5" t="e">
        <f t="shared" si="0"/>
        <v>#N/A</v>
      </c>
      <c r="M5" t="e">
        <f t="shared" si="0"/>
        <v>#N/A</v>
      </c>
      <c r="N5" t="e">
        <f>$B$2-1</f>
        <v>#N/A</v>
      </c>
      <c r="O5" t="e">
        <f t="shared" si="0"/>
        <v>#N/A</v>
      </c>
      <c r="P5" t="e">
        <f t="shared" si="0"/>
        <v>#N/A</v>
      </c>
      <c r="Q5" t="e">
        <f t="shared" si="0"/>
        <v>#N/A</v>
      </c>
    </row>
    <row r="6" spans="1:17">
      <c r="A6" s="9" t="s">
        <v>37</v>
      </c>
      <c r="B6" t="e">
        <f>'Cash Generation'!S6</f>
        <v>#N/A</v>
      </c>
      <c r="G6" t="e">
        <f>$B$4</f>
        <v>#N/A</v>
      </c>
      <c r="H6" t="e">
        <f>$B$4</f>
        <v>#N/A</v>
      </c>
      <c r="I6" t="s">
        <v>69</v>
      </c>
      <c r="J6" t="s">
        <v>94</v>
      </c>
      <c r="K6" t="s">
        <v>92</v>
      </c>
      <c r="L6" t="s">
        <v>95</v>
      </c>
      <c r="M6" t="s">
        <v>96</v>
      </c>
      <c r="N6" t="s">
        <v>70</v>
      </c>
      <c r="O6" t="s">
        <v>97</v>
      </c>
      <c r="P6" t="s">
        <v>71</v>
      </c>
      <c r="Q6" t="e">
        <f>$B$4</f>
        <v>#N/A</v>
      </c>
    </row>
    <row r="7" spans="1:17"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</row>
    <row r="8" spans="1:17">
      <c r="B8" s="9" t="s">
        <v>55</v>
      </c>
      <c r="C8" s="9" t="s">
        <v>56</v>
      </c>
      <c r="D8" s="9" t="s">
        <v>57</v>
      </c>
      <c r="E8" s="9" t="s">
        <v>58</v>
      </c>
      <c r="G8" t="e">
        <f>$A$9</f>
        <v>#N/A</v>
      </c>
      <c r="H8" t="e">
        <f>$A$10</f>
        <v>#N/A</v>
      </c>
      <c r="I8" t="e">
        <f>$A$11</f>
        <v>#N/A</v>
      </c>
      <c r="J8" t="e">
        <f>$A$11</f>
        <v>#N/A</v>
      </c>
      <c r="K8" t="e">
        <f>$A$11</f>
        <v>#N/A</v>
      </c>
      <c r="L8" t="e">
        <f>$A$11</f>
        <v>#N/A</v>
      </c>
      <c r="M8" t="e">
        <f>$A$11</f>
        <v>#N/A</v>
      </c>
      <c r="N8" t="e">
        <f>$A$9</f>
        <v>#N/A</v>
      </c>
      <c r="O8" t="e">
        <f>$A$11</f>
        <v>#N/A</v>
      </c>
      <c r="P8" t="e">
        <f>$A$11</f>
        <v>#N/A</v>
      </c>
      <c r="Q8" t="e">
        <f>$A$11</f>
        <v>#N/A</v>
      </c>
    </row>
    <row r="9" spans="1:17">
      <c r="A9" s="9" t="e">
        <f>'Cash Generation'!$AI$6</f>
        <v>#N/A</v>
      </c>
      <c r="B9" s="48" t="e">
        <f>_xll.DBRW($A$1,$B$2,B$8,$A9,$B$5,$B$6,$B$4,$B$3)</f>
        <v>#VALUE!</v>
      </c>
      <c r="C9" s="48" t="e">
        <f>_xll.DBRW($A$1,$B$2,C$8,$A9,$B$5,$B$6,$B$4,$B$3)</f>
        <v>#VALUE!</v>
      </c>
      <c r="D9" s="48" t="e">
        <f>_xll.DBRW($A$1,$B$2,D$8,$A9,$B$5,$B$6,$B$4,$B$3)</f>
        <v>#VALUE!</v>
      </c>
      <c r="E9" s="48" t="e">
        <f>_xll.DBRW($A$1,$B$2,E$8,$A9,$B$5,$B$6,$B$4,$B$3)</f>
        <v>#VALUE!</v>
      </c>
      <c r="G9" t="e">
        <f>$B$6</f>
        <v>#N/A</v>
      </c>
      <c r="H9" t="e">
        <f t="shared" ref="H9:Q9" si="1">$B$6</f>
        <v>#N/A</v>
      </c>
      <c r="I9" t="e">
        <f t="shared" si="1"/>
        <v>#N/A</v>
      </c>
      <c r="J9" t="e">
        <f t="shared" si="1"/>
        <v>#N/A</v>
      </c>
      <c r="K9" t="e">
        <f t="shared" si="1"/>
        <v>#N/A</v>
      </c>
      <c r="L9" t="e">
        <f t="shared" si="1"/>
        <v>#N/A</v>
      </c>
      <c r="M9" t="e">
        <f t="shared" si="1"/>
        <v>#N/A</v>
      </c>
      <c r="N9" t="e">
        <f t="shared" si="1"/>
        <v>#N/A</v>
      </c>
      <c r="O9" t="e">
        <f t="shared" si="1"/>
        <v>#N/A</v>
      </c>
      <c r="P9" t="e">
        <f t="shared" si="1"/>
        <v>#N/A</v>
      </c>
      <c r="Q9" t="e">
        <f t="shared" si="1"/>
        <v>#N/A</v>
      </c>
    </row>
    <row r="10" spans="1:17">
      <c r="A10" s="9" t="e">
        <f>'Cash Generation'!$AK$6</f>
        <v>#N/A</v>
      </c>
      <c r="B10" s="48" t="e">
        <f>_xll.DBRW($A$1,$B$2,B$8,$A10,$B$5,$B$6,$B$4,$B$3)</f>
        <v>#VALUE!</v>
      </c>
      <c r="C10" s="48" t="e">
        <f>_xll.DBRW($A$1,$B$2,C$8,$A10,$B$5,$B$6,$B$4,$B$3)</f>
        <v>#VALUE!</v>
      </c>
      <c r="D10" s="48" t="e">
        <f>_xll.DBRW($A$1,$B$2,D$8,$A10,$B$5,$B$6,$B$4,$B$3)</f>
        <v>#VALUE!</v>
      </c>
      <c r="E10" s="48" t="e">
        <f>_xll.DBRW($A$1,$B$2,E$8,$A10,$B$5,$B$6,$B$4,$B$3)</f>
        <v>#VALUE!</v>
      </c>
      <c r="G10" s="80" t="e">
        <f>B2-1</f>
        <v>#N/A</v>
      </c>
      <c r="H10" s="80" t="s">
        <v>30</v>
      </c>
      <c r="I10" s="80" t="s">
        <v>69</v>
      </c>
      <c r="J10" s="80" t="s">
        <v>87</v>
      </c>
      <c r="K10" s="80" t="s">
        <v>88</v>
      </c>
      <c r="L10" s="80" t="s">
        <v>89</v>
      </c>
      <c r="M10" s="80" t="s">
        <v>90</v>
      </c>
      <c r="N10" s="80" t="s">
        <v>91</v>
      </c>
      <c r="O10" s="80" t="s">
        <v>93</v>
      </c>
      <c r="P10" s="80" t="s">
        <v>71</v>
      </c>
      <c r="Q10" s="80" t="s">
        <v>86</v>
      </c>
    </row>
    <row r="11" spans="1:17">
      <c r="A11" s="10" t="e">
        <f>'Cash Generation'!$AM$6</f>
        <v>#N/A</v>
      </c>
      <c r="B11" s="48" t="e">
        <f>_xll.DBRW($A$1,$B$2,B$8,$A11,$B$5,$B$6,$B$4,$B$3)</f>
        <v>#VALUE!</v>
      </c>
      <c r="C11" s="48" t="e">
        <f>_xll.DBRW($A$1,$B$2,C$8,$A11,$B$5,$B$6,$B$4,$B$3)</f>
        <v>#VALUE!</v>
      </c>
      <c r="D11" s="48" t="e">
        <f>_xll.DBRW($A$1,$B$2,D$8,$A11,$B$5,$B$6,$B$4,$B$3)</f>
        <v>#VALUE!</v>
      </c>
      <c r="E11" s="48" t="e">
        <f>_xll.DBRW($A$1,$B$2,E$8,$A11,$B$5,$B$6,$B$4,$B$3)</f>
        <v>#VALUE!</v>
      </c>
      <c r="G11" s="48" t="e">
        <f>_xll.DBRW($A$1,G$5,G$7,G8,$B$5,G$9,G$6,$B$3)</f>
        <v>#VALUE!</v>
      </c>
      <c r="H11" s="48" t="e">
        <f>_xll.DBRW($A$1,H$5,H$7,H8,$B$5,H$9,H$6,$B$3)</f>
        <v>#VALUE!</v>
      </c>
      <c r="I11" s="48" t="e">
        <f>_xll.DBRW($A$1,I$5,I$7,I8,$B$5,I$9,I$6,$B$3)</f>
        <v>#VALUE!</v>
      </c>
      <c r="J11" s="48" t="e">
        <f>_xll.DBRW($A$1,J$5,J$7,J8,$B$5,J$9,J$6,$B$3)</f>
        <v>#VALUE!</v>
      </c>
      <c r="K11" s="48" t="e">
        <f>_xll.DBRW($A$1,K$5,K$7,K8,$B$5,K$9,K$6,$B$3)</f>
        <v>#VALUE!</v>
      </c>
      <c r="L11" s="48" t="e">
        <f>_xll.DBRW($A$1,L$5,L$7,L8,$B$5,L$9,L$6,$B$3)</f>
        <v>#VALUE!</v>
      </c>
      <c r="M11" s="48" t="e">
        <f>_xll.DBRW($A$1,M$5,M$7,M8,$B$5,M$9,M$6,$B$3)</f>
        <v>#VALUE!</v>
      </c>
      <c r="N11" s="48" t="e">
        <f>_xll.DBRW($A$1,N$5,N$7,N8,$B$5,N$9,N$6,$B$3)</f>
        <v>#VALUE!</v>
      </c>
      <c r="O11" s="48" t="e">
        <f>_xll.DBRW($A$1,O$5,O$7,O8,$B$5,O$9,O$6,$B$3)</f>
        <v>#VALUE!</v>
      </c>
      <c r="P11" s="48" t="e">
        <f>_xll.DBRW($A$1,P$5,P$7,P8,$B$5,P$9,P$6,$B$3)</f>
        <v>#VALUE!</v>
      </c>
      <c r="Q11" s="48" t="e">
        <f>_xll.DBRW($A$1,Q$5,Q$7,Q8,$B$5,Q$9,Q$6,$B$3)</f>
        <v>#VALUE!</v>
      </c>
    </row>
    <row r="13" spans="1:17">
      <c r="C13" s="184" t="s">
        <v>54</v>
      </c>
      <c r="D13" s="184" t="s">
        <v>54</v>
      </c>
      <c r="E13" s="184" t="s">
        <v>54</v>
      </c>
    </row>
    <row r="14" spans="1:17">
      <c r="C14" s="184" t="e">
        <f>A9</f>
        <v>#N/A</v>
      </c>
      <c r="D14" s="184" t="e">
        <f>A10</f>
        <v>#N/A</v>
      </c>
      <c r="E14" s="184" t="e">
        <f>A11</f>
        <v>#N/A</v>
      </c>
    </row>
    <row r="15" spans="1:17">
      <c r="C15" s="184" t="e">
        <f>G5</f>
        <v>#N/A</v>
      </c>
      <c r="D15" s="184" t="e">
        <f>H5</f>
        <v>#N/A</v>
      </c>
      <c r="E15" s="184" t="e">
        <f>H5</f>
        <v>#N/A</v>
      </c>
    </row>
    <row r="16" spans="1:17">
      <c r="A16" s="1" t="s">
        <v>118</v>
      </c>
      <c r="B16" s="1" t="s">
        <v>69</v>
      </c>
      <c r="C16" s="183" t="e">
        <f>_xll.DBRW($A$1,C$15,C$13,C$14,$B$5,$B$6,$A16,$B$3)/_xll.DBRW($A$1,C$15,C$13,C$14,$B$5,$B$6,$B16,$B$3)</f>
        <v>#VALUE!</v>
      </c>
      <c r="D16" s="183" t="e">
        <f>_xll.DBRW($A$1,D$15,D$13,D$14,$B$5,$B$6,$A16,$B$3)/_xll.DBRW($A$1,D$15,D$13,D$14,$B$5,$B$6,$B16,$B$3)</f>
        <v>#VALUE!</v>
      </c>
      <c r="E16" s="183" t="e">
        <f>_xll.DBRW($A$1,E$15,E$13,E$14,$B$5,$B$6,$A16,$B$3)/_xll.DBRW($A$1,E$15,E$13,E$14,$B$5,$B$6,$B16,$B$3)</f>
        <v>#VALUE!</v>
      </c>
    </row>
    <row r="17" spans="1:5">
      <c r="A17" s="1" t="s">
        <v>117</v>
      </c>
      <c r="B17" s="1" t="s">
        <v>69</v>
      </c>
      <c r="C17" s="183" t="e">
        <f>_xll.DBRW($A$1,C$15,C$13,C$14,$B$5,$B$6,$A17,$B$3)/_xll.DBRW($A$1,C$15,C$13,C$14,$B$5,$B$6,$B17,$B$3)</f>
        <v>#VALUE!</v>
      </c>
      <c r="D17" s="183" t="e">
        <f>_xll.DBRW($A$1,D$15,D$13,D$14,$B$5,$B$6,$A17,$B$3)/_xll.DBRW($A$1,D$15,D$13,D$14,$B$5,$B$6,$B17,$B$3)</f>
        <v>#VALUE!</v>
      </c>
      <c r="E17" s="183" t="e">
        <f>_xll.DBRW($A$1,E$15,E$13,E$14,$B$5,$B$6,$A17,$B$3)/_xll.DBRW($A$1,E$15,E$13,E$14,$B$5,$B$6,$B17,$B$3)</f>
        <v>#VALUE!</v>
      </c>
    </row>
    <row r="18" spans="1:5">
      <c r="A18" s="1" t="s">
        <v>131</v>
      </c>
      <c r="B18" s="1" t="s">
        <v>120</v>
      </c>
      <c r="C18" s="177" t="e">
        <f>_xll.DBRW($A$1,C$15,C$13,C$14,$B$18,$B$6,$A18,$B$3)/1000</f>
        <v>#VALUE!</v>
      </c>
      <c r="D18" s="177" t="e">
        <f>_xll.DBRW($A$1,D$15,D$13,D$14,$B$18,$B$6,$A18,$B$3)/1000</f>
        <v>#VALUE!</v>
      </c>
      <c r="E18" s="177" t="e">
        <f>_xll.DBRW($A$1,E$15,E$13,E$14,$B$18,$B$6,$A18,$B$3)/1000</f>
        <v>#VALUE!</v>
      </c>
    </row>
    <row r="19" spans="1:5">
      <c r="A19" s="1" t="s">
        <v>131</v>
      </c>
      <c r="B19" s="1" t="s">
        <v>119</v>
      </c>
      <c r="C19" s="214" t="e">
        <f>_xll.DBRW($A$1,C$15,C$13,C$14,$B$5,$B$6,$A19,$B$3)/_xll.DBRW($A$1,C$15,C$13,C$14,$B$5,$B$6,$B19,$B$3)</f>
        <v>#VALUE!</v>
      </c>
      <c r="D19" s="214" t="e">
        <f>_xll.DBRW($A$1,D$15,D$13,D$14,$B$5,$B$6,$A19,$B$3)/_xll.DBRW($A$1,D$15,D$13,D$14,$B$5,$B$6,$B19,$B$3)</f>
        <v>#VALUE!</v>
      </c>
      <c r="E19" s="214" t="e">
        <f>_xll.DBRW($A$1,E$15,E$13,E$14,$B$5,$B$6,$A19,$B$3)/_xll.DBRW($A$1,E$15,E$13,E$14,$B$5,$B$6,$B19,$B$3)</f>
        <v>#VALUE!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F7F0-031B-41B7-AFF8-A8C884CFBE3D}">
  <sheetPr codeName="Planilha12"/>
  <dimension ref="B1:AN34"/>
  <sheetViews>
    <sheetView showGridLines="0" workbookViewId="0">
      <selection activeCell="AP19" sqref="AP19"/>
    </sheetView>
  </sheetViews>
  <sheetFormatPr defaultRowHeight="14.4"/>
  <cols>
    <col min="1" max="1" width="5.6640625" customWidth="1"/>
    <col min="2" max="27" width="4.33203125" customWidth="1"/>
  </cols>
  <sheetData>
    <row r="1" spans="2:40" ht="15" customHeight="1">
      <c r="B1" s="262" t="s">
        <v>105</v>
      </c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</row>
    <row r="2" spans="2:40" ht="15" customHeight="1"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</row>
    <row r="3" spans="2:40" ht="15" customHeight="1"/>
    <row r="4" spans="2:40" ht="6" customHeight="1">
      <c r="B4" s="82"/>
      <c r="D4" s="115"/>
      <c r="E4" s="115"/>
      <c r="F4" s="115"/>
      <c r="G4" s="115"/>
      <c r="H4" s="115"/>
      <c r="I4" s="115"/>
      <c r="J4" s="115"/>
      <c r="K4" s="83"/>
      <c r="L4" s="83"/>
      <c r="M4" s="83"/>
    </row>
    <row r="5" spans="2:40" ht="12.6" customHeight="1">
      <c r="B5" s="94"/>
      <c r="C5" s="94"/>
      <c r="D5" s="122"/>
      <c r="E5" s="122"/>
      <c r="F5" s="122"/>
      <c r="G5" s="106"/>
      <c r="H5" s="106"/>
      <c r="I5" s="106"/>
      <c r="J5" s="106"/>
      <c r="K5" s="106"/>
      <c r="L5" s="106"/>
      <c r="M5" s="106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</row>
    <row r="6" spans="2:40" ht="21.6" customHeight="1">
      <c r="B6" s="85"/>
      <c r="C6" s="252" t="e">
        <f>_xll.SUBNM("CONS_VC_PRD:DFS.D.Accounts_ICF","Default","Cash generation before financing")</f>
        <v>#N/A</v>
      </c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85"/>
      <c r="O6" s="248" t="e">
        <f>_xll.SUBNM("CONS_VC_PRD:ALL.D.Year","","2025")</f>
        <v>#N/A</v>
      </c>
      <c r="P6" s="248"/>
      <c r="Q6" s="248"/>
      <c r="R6" s="85"/>
      <c r="S6" s="247" t="e">
        <f>_xll.SUBNM("CONS_VC_PRD:ALL.D.Region","Default","Global")</f>
        <v>#N/A</v>
      </c>
      <c r="T6" s="247"/>
      <c r="U6" s="247"/>
      <c r="V6" s="85"/>
      <c r="W6" s="85"/>
      <c r="X6" s="247" t="e">
        <f>_xll.SUBNM("CONS_VC_PRD:ALL.D.Currency","","BRL Conv.")</f>
        <v>#N/A</v>
      </c>
      <c r="Y6" s="247"/>
      <c r="Z6" s="247"/>
      <c r="AA6" s="247"/>
      <c r="AB6" s="85"/>
      <c r="AC6" s="85"/>
      <c r="AD6" s="85"/>
      <c r="AE6" s="85"/>
      <c r="AF6" s="85"/>
      <c r="AG6" s="85"/>
      <c r="AH6" s="102"/>
      <c r="AI6" s="113" t="e">
        <f>_xll.SUBNM("CONS_VC_PRD:ALL.D.Version","Sys.Report","Actual","Descrição")</f>
        <v>#N/A</v>
      </c>
      <c r="AJ6" s="102"/>
      <c r="AK6" s="113" t="e">
        <f>_xll.SUBNM("CONS_VC_PRD:ALL.D.Version","Sys.Report","L300","Descrição")</f>
        <v>#N/A</v>
      </c>
      <c r="AL6" s="102"/>
      <c r="AM6" s="113" t="e">
        <f>_xll.SUBNM("CONS_VC_PRD:ALL.D.Version","Sys.Report","RF","Descrição")</f>
        <v>#N/A</v>
      </c>
      <c r="AN6" s="121"/>
    </row>
    <row r="7" spans="2:40" ht="12.6" customHeight="1">
      <c r="B7" s="91"/>
      <c r="C7" s="91"/>
      <c r="D7" s="91"/>
      <c r="E7" s="119"/>
      <c r="F7" s="119"/>
      <c r="G7" s="119"/>
      <c r="H7" s="119"/>
      <c r="I7" s="119"/>
      <c r="J7" s="119"/>
      <c r="K7" s="119"/>
      <c r="L7" s="119"/>
      <c r="M7" s="119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11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</row>
    <row r="8" spans="2:40" ht="15" customHeight="1" thickBot="1">
      <c r="B8" s="127"/>
      <c r="C8" s="134" t="s">
        <v>73</v>
      </c>
      <c r="D8" s="135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AC8" s="134" t="s">
        <v>27</v>
      </c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</row>
    <row r="25" spans="4:21">
      <c r="E25" s="15"/>
      <c r="F25" s="16"/>
      <c r="G25" s="17"/>
      <c r="H25" s="14"/>
      <c r="I25" s="14"/>
      <c r="J25" s="15"/>
      <c r="K25" s="16"/>
      <c r="L25" s="17"/>
      <c r="M25" s="14"/>
      <c r="N25" s="15"/>
      <c r="O25" s="16"/>
      <c r="P25" s="17"/>
      <c r="Q25" s="14"/>
      <c r="R25" s="14"/>
      <c r="S25" s="15"/>
      <c r="T25" s="16"/>
      <c r="U25" s="17"/>
    </row>
    <row r="29" spans="4:21" ht="15" thickBot="1"/>
    <row r="30" spans="4:21">
      <c r="D30" s="51"/>
      <c r="E30" s="51"/>
      <c r="F30" s="215"/>
      <c r="G30" s="216"/>
      <c r="H30" s="216"/>
      <c r="I30" s="180"/>
      <c r="J30" s="180"/>
      <c r="K30" s="180"/>
      <c r="L30" s="180"/>
      <c r="M30" s="180"/>
      <c r="N30" s="250" t="e">
        <f>'Cash Generation - Fx'!C15</f>
        <v>#N/A</v>
      </c>
      <c r="O30" s="250"/>
      <c r="P30" s="250" t="e">
        <f>'Cash Generation - Fx'!D14</f>
        <v>#N/A</v>
      </c>
      <c r="Q30" s="250"/>
      <c r="R30" s="250" t="e">
        <f>'Cash Generation - Fx'!E15</f>
        <v>#N/A</v>
      </c>
      <c r="S30" s="251"/>
    </row>
    <row r="31" spans="4:21">
      <c r="D31" s="51"/>
      <c r="E31" s="51"/>
      <c r="F31" s="256" t="e">
        <f>C6&amp;" / EBITDA"</f>
        <v>#N/A</v>
      </c>
      <c r="G31" s="257"/>
      <c r="H31" s="257"/>
      <c r="I31" s="257"/>
      <c r="J31" s="257"/>
      <c r="K31" s="257"/>
      <c r="L31" s="257"/>
      <c r="M31" s="257"/>
      <c r="N31" s="239" t="e">
        <f>'Cash Generation - Fx'!C16</f>
        <v>#VALUE!</v>
      </c>
      <c r="O31" s="239"/>
      <c r="P31" s="239" t="e">
        <f>'Cash Generation - Fx'!D16</f>
        <v>#VALUE!</v>
      </c>
      <c r="Q31" s="239"/>
      <c r="R31" s="239" t="e">
        <f>'Cash Generation - Fx'!E16</f>
        <v>#VALUE!</v>
      </c>
      <c r="S31" s="240"/>
    </row>
    <row r="32" spans="4:21" ht="15" thickBot="1">
      <c r="D32" s="51"/>
      <c r="E32" s="51"/>
      <c r="F32" s="244" t="s">
        <v>132</v>
      </c>
      <c r="G32" s="245"/>
      <c r="H32" s="245"/>
      <c r="I32" s="245"/>
      <c r="J32" s="245"/>
      <c r="K32" s="245"/>
      <c r="L32" s="245"/>
      <c r="M32" s="245"/>
      <c r="N32" s="260" t="e">
        <f>'Cash Generation - Fx'!C17</f>
        <v>#VALUE!</v>
      </c>
      <c r="O32" s="260"/>
      <c r="P32" s="260" t="e">
        <f>'Cash Generation - Fx'!D17</f>
        <v>#VALUE!</v>
      </c>
      <c r="Q32" s="260"/>
      <c r="R32" s="260" t="e">
        <f>'Cash Generation - Fx'!E17</f>
        <v>#VALUE!</v>
      </c>
      <c r="S32" s="261"/>
    </row>
    <row r="33" spans="4:19">
      <c r="D33" s="51"/>
      <c r="E33" s="51"/>
      <c r="F33" s="242" t="s">
        <v>133</v>
      </c>
      <c r="G33" s="243"/>
      <c r="H33" s="243"/>
      <c r="I33" s="243"/>
      <c r="J33" s="243"/>
      <c r="K33" s="243"/>
      <c r="L33" s="243"/>
      <c r="M33" s="243"/>
      <c r="N33" s="237">
        <f>'Cash Generation - Fx'!C178</f>
        <v>0</v>
      </c>
      <c r="O33" s="237"/>
      <c r="P33" s="237" t="e">
        <f>'Cash Generation - Fx'!D18</f>
        <v>#VALUE!</v>
      </c>
      <c r="Q33" s="237"/>
      <c r="R33" s="237" t="e">
        <f>'Cash Generation - Fx'!E18</f>
        <v>#VALUE!</v>
      </c>
      <c r="S33" s="238"/>
    </row>
    <row r="34" spans="4:19" ht="15" thickBot="1">
      <c r="F34" s="258" t="s">
        <v>134</v>
      </c>
      <c r="G34" s="259"/>
      <c r="H34" s="259"/>
      <c r="I34" s="259"/>
      <c r="J34" s="259"/>
      <c r="K34" s="259"/>
      <c r="L34" s="259"/>
      <c r="M34" s="259"/>
      <c r="N34" s="254" t="e">
        <f>'Cash Generation - Fx'!C19</f>
        <v>#VALUE!</v>
      </c>
      <c r="O34" s="254"/>
      <c r="P34" s="254" t="e">
        <f>'Cash Generation - Fx'!D19</f>
        <v>#VALUE!</v>
      </c>
      <c r="Q34" s="254"/>
      <c r="R34" s="254" t="e">
        <f>'Cash Generation - Fx'!E19</f>
        <v>#VALUE!</v>
      </c>
      <c r="S34" s="255"/>
    </row>
  </sheetData>
  <mergeCells count="24">
    <mergeCell ref="N30:O30"/>
    <mergeCell ref="P30:Q30"/>
    <mergeCell ref="R30:S30"/>
    <mergeCell ref="N31:O31"/>
    <mergeCell ref="P31:Q31"/>
    <mergeCell ref="R31:S31"/>
    <mergeCell ref="B1:Q2"/>
    <mergeCell ref="X6:AA6"/>
    <mergeCell ref="C6:M6"/>
    <mergeCell ref="S6:U6"/>
    <mergeCell ref="O6:Q6"/>
    <mergeCell ref="N34:O34"/>
    <mergeCell ref="P34:Q34"/>
    <mergeCell ref="R34:S34"/>
    <mergeCell ref="F31:M31"/>
    <mergeCell ref="F32:M32"/>
    <mergeCell ref="F33:M33"/>
    <mergeCell ref="F34:M34"/>
    <mergeCell ref="P32:Q32"/>
    <mergeCell ref="R32:S32"/>
    <mergeCell ref="N33:O33"/>
    <mergeCell ref="P33:Q33"/>
    <mergeCell ref="R33:S33"/>
    <mergeCell ref="N32:O32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3808-0F82-4011-8434-8164871D47D7}">
  <sheetPr codeName="Planilha13"/>
  <dimension ref="A1:O17"/>
  <sheetViews>
    <sheetView workbookViewId="0">
      <selection activeCell="A3" sqref="A3"/>
    </sheetView>
  </sheetViews>
  <sheetFormatPr defaultRowHeight="14.4"/>
  <cols>
    <col min="1" max="2" width="20" customWidth="1"/>
    <col min="4" max="4" width="10.88671875" bestFit="1" customWidth="1"/>
    <col min="8" max="8" width="19.6640625" customWidth="1"/>
  </cols>
  <sheetData>
    <row r="1" spans="1:15" ht="15" thickBot="1">
      <c r="A1" s="29" t="s">
        <v>6</v>
      </c>
      <c r="B1" s="29"/>
    </row>
    <row r="2" spans="1:15">
      <c r="A2" s="1" t="e">
        <f>'Vol | Price  (product)'!M6</f>
        <v>#N/A</v>
      </c>
      <c r="B2" s="1"/>
      <c r="C2" s="58" t="s">
        <v>82</v>
      </c>
      <c r="D2" s="69" t="s">
        <v>55</v>
      </c>
      <c r="E2" s="69" t="s">
        <v>56</v>
      </c>
      <c r="F2" s="69" t="s">
        <v>57</v>
      </c>
      <c r="G2" s="70" t="s">
        <v>58</v>
      </c>
      <c r="H2" s="49"/>
      <c r="I2" s="58" t="s">
        <v>83</v>
      </c>
      <c r="J2" s="69" t="s">
        <v>55</v>
      </c>
      <c r="K2" s="69" t="s">
        <v>56</v>
      </c>
      <c r="L2" s="69" t="s">
        <v>57</v>
      </c>
      <c r="M2" s="70" t="s">
        <v>58</v>
      </c>
      <c r="N2" s="49"/>
      <c r="O2" s="71" t="s">
        <v>54</v>
      </c>
    </row>
    <row r="3" spans="1:15">
      <c r="A3" s="1" t="s">
        <v>0</v>
      </c>
      <c r="B3" s="1"/>
      <c r="C3" s="59" t="e">
        <f>'Vol | Price  (product)'!$AI6</f>
        <v>#N/A</v>
      </c>
      <c r="D3" s="79" t="e">
        <f>_xll.DBRW($A$1,$A$2,D$2,$C3,$A$6,$A$5,$B$4,$A$7,$C$2)</f>
        <v>#VALUE!</v>
      </c>
      <c r="E3" s="57" t="e">
        <f>_xll.DBRW($A$1,$A$2,E$2,$C3,$A$6,$A$5,$B$4,$A$7,$C$2)</f>
        <v>#VALUE!</v>
      </c>
      <c r="F3" s="57" t="e">
        <f>_xll.DBRW($A$1,$A$2,F$2,$C3,$A$6,$A$5,$B$4,$A$7,$C$2)</f>
        <v>#VALUE!</v>
      </c>
      <c r="G3" s="57" t="e">
        <f>_xll.DBRW($A$1,$A$2,G$2,$C3,$A$6,$A$5,$B$4,$A$7,$C$2)</f>
        <v>#VALUE!</v>
      </c>
      <c r="H3" s="57"/>
      <c r="I3" s="59" t="e">
        <f>'Vol | Price  (product)'!$AI6</f>
        <v>#N/A</v>
      </c>
      <c r="J3" s="57" t="e">
        <f>_xll.DBRW($A$1,$A$2,J$2,$I3,$A$6,$A$5,$B$4,$A$7,$I$2)</f>
        <v>#VALUE!</v>
      </c>
      <c r="K3" s="57" t="e">
        <f>_xll.DBRW($A$1,$A$2,K$2,$I3,$A$6,$A$5,$B$4,$A$7,$I$2)</f>
        <v>#VALUE!</v>
      </c>
      <c r="L3" s="57" t="e">
        <f>_xll.DBRW($A$1,$A$2,L$2,$I3,$A$6,$A$5,$B$4,$A$7,$I$2)</f>
        <v>#VALUE!</v>
      </c>
      <c r="M3" s="57" t="e">
        <f>_xll.DBRW($A$1,$A$2,M$2,$I3,$A$6,$A$5,$B$4,$A$7,$I$2)</f>
        <v>#VALUE!</v>
      </c>
      <c r="N3" s="47"/>
      <c r="O3" s="57" t="e">
        <f>_xll.DBRW($A$1,$A$2,O$2,$I3,$A$6,$A$5,$B$4,$A$7,$I$2)</f>
        <v>#VALUE!</v>
      </c>
    </row>
    <row r="4" spans="1:15">
      <c r="A4" s="1" t="s">
        <v>75</v>
      </c>
      <c r="B4" s="1" t="e">
        <f>'Vol | Price  (product)'!B9</f>
        <v>#N/A</v>
      </c>
      <c r="C4" s="59" t="e">
        <f>'Vol | Price  (product)'!$AK6</f>
        <v>#N/A</v>
      </c>
      <c r="D4" s="57" t="e">
        <f>_xll.DBRW($A$1,$A$2,D$2,$C4,$A$6,$A$5,$B$4,$A$7,$C$2)</f>
        <v>#VALUE!</v>
      </c>
      <c r="E4" s="57" t="e">
        <f>_xll.DBRW($A$1,$A$2,E$2,$C4,$A$6,$A$5,$B$4,$A$7,$C$2)</f>
        <v>#VALUE!</v>
      </c>
      <c r="F4" s="57" t="e">
        <f>_xll.DBRW($A$1,$A$2,F$2,$C4,$A$6,$A$5,$B$4,$A$7,$C$2)</f>
        <v>#VALUE!</v>
      </c>
      <c r="G4" s="57" t="e">
        <f>_xll.DBRW($A$1,$A$2,G$2,$C4,$A$6,$A$5,$B$4,$A$7,$C$2)</f>
        <v>#VALUE!</v>
      </c>
      <c r="H4" s="57"/>
      <c r="I4" s="59" t="e">
        <f>'Vol | Price  (product)'!$AK6</f>
        <v>#N/A</v>
      </c>
      <c r="J4" s="57" t="e">
        <f>_xll.DBRW($A$1,$A$2,J$2,$I4,$A$6,$A$5,$B$4,$A$7,$I$2)</f>
        <v>#VALUE!</v>
      </c>
      <c r="K4" s="57" t="e">
        <f>_xll.DBRW($A$1,$A$2,K$2,$I4,$A$6,$A$5,$B$4,$A$7,$I$2)</f>
        <v>#VALUE!</v>
      </c>
      <c r="L4" s="57" t="e">
        <f>_xll.DBRW($A$1,$A$2,L$2,$I4,$A$6,$A$5,$B$4,$A$7,$I$2)</f>
        <v>#VALUE!</v>
      </c>
      <c r="M4" s="57" t="e">
        <f>_xll.DBRW($A$1,$A$2,M$2,$I4,$A$6,$A$5,$B$4,$A$7,$I$2)</f>
        <v>#VALUE!</v>
      </c>
      <c r="N4" s="47"/>
      <c r="O4" s="57" t="e">
        <f>_xll.DBRW($A$1,$A$2,O$2,$I4,$A$6,$A$5,$B$4,$A$7,$I$2)</f>
        <v>#VALUE!</v>
      </c>
    </row>
    <row r="5" spans="1:15" ht="15" thickBot="1">
      <c r="A5" s="1" t="e">
        <f>'Vol | Price  (product)'!R6</f>
        <v>#N/A</v>
      </c>
      <c r="B5" s="1"/>
      <c r="C5" s="60" t="e">
        <f>'Vol | Price  (product)'!$AM6</f>
        <v>#N/A</v>
      </c>
      <c r="D5" s="57" t="e">
        <f>_xll.DBRW($A$1,$A$2,D$2,$C5,$A$6,$A$5,$B$4,$A$7,$C$2)</f>
        <v>#VALUE!</v>
      </c>
      <c r="E5" s="57" t="e">
        <f>_xll.DBRW($A$1,$A$2,E$2,$C5,$A$6,$A$5,$B$4,$A$7,$C$2)</f>
        <v>#VALUE!</v>
      </c>
      <c r="F5" s="57" t="e">
        <f>_xll.DBRW($A$1,$A$2,F$2,$C5,$A$6,$A$5,$B$4,$A$7,$C$2)</f>
        <v>#VALUE!</v>
      </c>
      <c r="G5" s="57" t="e">
        <f>_xll.DBRW($A$1,$A$2,G$2,$C5,$A$6,$A$5,$B$4,$A$7,$C$2)</f>
        <v>#VALUE!</v>
      </c>
      <c r="H5" s="57"/>
      <c r="I5" s="60" t="e">
        <f>'Vol | Price  (product)'!$AM6</f>
        <v>#N/A</v>
      </c>
      <c r="J5" s="57" t="e">
        <f>_xll.DBRW($A$1,$A$2,J$2,$I5,$A$6,$A$5,$B$4,$A$7,$I$2)</f>
        <v>#VALUE!</v>
      </c>
      <c r="K5" s="57" t="e">
        <f>_xll.DBRW($A$1,$A$2,K$2,$I5,$A$6,$A$5,$B$4,$A$7,$I$2)</f>
        <v>#VALUE!</v>
      </c>
      <c r="L5" s="57" t="e">
        <f>_xll.DBRW($A$1,$A$2,L$2,$I5,$A$6,$A$5,$B$4,$A$7,$I$2)</f>
        <v>#VALUE!</v>
      </c>
      <c r="M5" s="57" t="e">
        <f>_xll.DBRW($A$1,$A$2,M$2,$I5,$A$6,$A$5,$B$4,$A$7,$I$2)</f>
        <v>#VALUE!</v>
      </c>
      <c r="N5" s="47"/>
      <c r="O5" s="57" t="e">
        <f>_xll.DBRW($A$1,$A$2,O$2,$I5,$A$6,$A$5,$B$4,$A$7,$I$2)</f>
        <v>#VALUE!</v>
      </c>
    </row>
    <row r="6" spans="1:15">
      <c r="A6" s="73" t="e">
        <f>'Vol | Price  (product)'!X6</f>
        <v>#N/A</v>
      </c>
      <c r="B6" s="73"/>
      <c r="C6" s="49"/>
      <c r="D6" s="57"/>
      <c r="E6" s="57"/>
      <c r="F6" s="57"/>
      <c r="G6" s="57"/>
      <c r="H6" s="57"/>
      <c r="I6" s="57"/>
      <c r="J6" s="57"/>
      <c r="K6" s="57"/>
      <c r="L6" s="57"/>
      <c r="M6" s="57"/>
      <c r="N6" s="47"/>
      <c r="O6" s="47"/>
    </row>
    <row r="7" spans="1:15" ht="15" thickBot="1">
      <c r="A7" s="1" t="s">
        <v>84</v>
      </c>
      <c r="B7" s="1"/>
      <c r="C7" s="49"/>
      <c r="D7" s="57"/>
      <c r="E7" s="57"/>
      <c r="F7" s="57"/>
      <c r="G7" s="57"/>
      <c r="H7" s="57"/>
      <c r="I7" s="57"/>
      <c r="J7" s="57"/>
      <c r="K7" s="57"/>
      <c r="L7" s="57"/>
      <c r="M7" s="57"/>
      <c r="N7" s="47"/>
      <c r="O7" s="47"/>
    </row>
    <row r="8" spans="1:15">
      <c r="A8" s="1"/>
      <c r="B8" s="1"/>
      <c r="C8" s="58" t="s">
        <v>82</v>
      </c>
      <c r="D8" s="64" t="s">
        <v>55</v>
      </c>
      <c r="E8" s="64" t="s">
        <v>56</v>
      </c>
      <c r="F8" s="64" t="s">
        <v>57</v>
      </c>
      <c r="G8" s="65" t="s">
        <v>58</v>
      </c>
      <c r="H8" s="72"/>
      <c r="I8" s="58" t="s">
        <v>83</v>
      </c>
      <c r="J8" s="64" t="s">
        <v>55</v>
      </c>
      <c r="K8" s="64" t="s">
        <v>56</v>
      </c>
      <c r="L8" s="64" t="s">
        <v>57</v>
      </c>
      <c r="M8" s="65" t="s">
        <v>58</v>
      </c>
      <c r="N8" s="49"/>
      <c r="O8" s="71" t="s">
        <v>54</v>
      </c>
    </row>
    <row r="9" spans="1:15">
      <c r="C9" s="59" t="e">
        <f>'Vol | Price  (product)'!$AI6</f>
        <v>#N/A</v>
      </c>
      <c r="D9" s="57" t="e">
        <f>_xll.DBRW($A$1,$A$2,D$2,$C9,$A$6,$A$5,$B$10,$A$7,$C$8)</f>
        <v>#VALUE!</v>
      </c>
      <c r="E9" s="57" t="e">
        <f>_xll.DBRW($A$1,$A$2,E$2,$C9,$A$6,$A$5,$B$10,$A$7,$C$8)</f>
        <v>#VALUE!</v>
      </c>
      <c r="F9" s="57" t="e">
        <f>_xll.DBRW($A$1,$A$2,F$2,$C9,$A$6,$A$5,$B$10,$A$7,$C$8)</f>
        <v>#VALUE!</v>
      </c>
      <c r="G9" s="57" t="e">
        <f>_xll.DBRW($A$1,$A$2,G$2,$C9,$A$6,$A$5,$B$10,$A$7,$C$8)</f>
        <v>#VALUE!</v>
      </c>
      <c r="H9" s="57"/>
      <c r="I9" s="59" t="e">
        <f>'Vol | Price  (product)'!$AI6</f>
        <v>#N/A</v>
      </c>
      <c r="J9" s="57" t="e">
        <f>_xll.DBRW($A$1,$A$2,J$8,$I9,$A$6,$A$5,$B$10,$A$7,$I$8)</f>
        <v>#VALUE!</v>
      </c>
      <c r="K9" s="57" t="e">
        <f>_xll.DBRW($A$1,$A$2,K$8,$I9,$A$6,$A$5,$B$10,$A$7,$I$8)</f>
        <v>#VALUE!</v>
      </c>
      <c r="L9" s="57" t="e">
        <f>_xll.DBRW($A$1,$A$2,L$8,$I9,$A$6,$A$5,$B$10,$A$7,$I$8)</f>
        <v>#VALUE!</v>
      </c>
      <c r="M9" s="57" t="e">
        <f>_xll.DBRW($A$1,$A$2,M$8,$I9,$A$6,$A$5,$B$10,$A$7,$I$8)</f>
        <v>#VALUE!</v>
      </c>
      <c r="N9" s="47"/>
      <c r="O9" s="57" t="e">
        <f>_xll.DBRW($A$1,$A$2,O$8,$I9,$A$6,$A$5,$B$10,$A$7,$I$8)</f>
        <v>#VALUE!</v>
      </c>
    </row>
    <row r="10" spans="1:15">
      <c r="B10" s="1" t="e">
        <f>'Vol | Price  (product)'!B19</f>
        <v>#N/A</v>
      </c>
      <c r="C10" s="59" t="e">
        <f>'Vol | Price  (product)'!$AK6</f>
        <v>#N/A</v>
      </c>
      <c r="D10" s="57" t="e">
        <f>_xll.DBRW($A$1,$A$2,D$2,$C10,$A$6,$A$5,$B$10,$A$7,$C$8)</f>
        <v>#VALUE!</v>
      </c>
      <c r="E10" s="57" t="e">
        <f>_xll.DBRW($A$1,$A$2,E$2,$C10,$A$6,$A$5,$B$10,$A$7,$C$8)</f>
        <v>#VALUE!</v>
      </c>
      <c r="F10" s="57" t="e">
        <f>_xll.DBRW($A$1,$A$2,F$2,$C10,$A$6,$A$5,$B$10,$A$7,$C$8)</f>
        <v>#VALUE!</v>
      </c>
      <c r="G10" s="57" t="e">
        <f>_xll.DBRW($A$1,$A$2,G$2,$C10,$A$6,$A$5,$B$10,$A$7,$C$8)</f>
        <v>#VALUE!</v>
      </c>
      <c r="H10" s="57"/>
      <c r="I10" s="59" t="e">
        <f>'Vol | Price  (product)'!$AK6</f>
        <v>#N/A</v>
      </c>
      <c r="J10" s="57" t="e">
        <f>_xll.DBRW($A$1,$A$2,J$8,$I10,$A$6,$A$5,$B$10,$A$7,$I$8)</f>
        <v>#VALUE!</v>
      </c>
      <c r="K10" s="57" t="e">
        <f>_xll.DBRW($A$1,$A$2,K$8,$I10,$A$6,$A$5,$B$10,$A$7,$I$8)</f>
        <v>#VALUE!</v>
      </c>
      <c r="L10" s="57" t="e">
        <f>_xll.DBRW($A$1,$A$2,L$8,$I10,$A$6,$A$5,$B$10,$A$7,$I$8)</f>
        <v>#VALUE!</v>
      </c>
      <c r="M10" s="57" t="e">
        <f>_xll.DBRW($A$1,$A$2,M$8,$I10,$A$6,$A$5,$B$10,$A$7,$I$8)</f>
        <v>#VALUE!</v>
      </c>
      <c r="N10" s="47"/>
      <c r="O10" s="57" t="e">
        <f>_xll.DBRW($A$1,$A$2,O$8,$I10,$A$6,$A$5,$B$10,$A$7,$I$8)</f>
        <v>#VALUE!</v>
      </c>
    </row>
    <row r="11" spans="1:15" ht="15" thickBot="1">
      <c r="C11" s="60" t="e">
        <f>'Vol | Price  (product)'!$AM6</f>
        <v>#N/A</v>
      </c>
      <c r="D11" s="57" t="e">
        <f>_xll.DBRW($A$1,$A$2,D$2,$C11,$A$6,$A$5,$B$10,$A$7,$C$8)</f>
        <v>#VALUE!</v>
      </c>
      <c r="E11" s="57" t="e">
        <f>_xll.DBRW($A$1,$A$2,E$2,$C11,$A$6,$A$5,$B$10,$A$7,$C$8)</f>
        <v>#VALUE!</v>
      </c>
      <c r="F11" s="57" t="e">
        <f>_xll.DBRW($A$1,$A$2,F$2,$C11,$A$6,$A$5,$B$10,$A$7,$C$8)</f>
        <v>#VALUE!</v>
      </c>
      <c r="G11" s="57" t="e">
        <f>_xll.DBRW($A$1,$A$2,G$2,$C11,$A$6,$A$5,$B$10,$A$7,$C$8)</f>
        <v>#VALUE!</v>
      </c>
      <c r="H11" s="57"/>
      <c r="I11" s="60" t="e">
        <f>'Vol | Price  (product)'!$AM6</f>
        <v>#N/A</v>
      </c>
      <c r="J11" s="57" t="e">
        <f>_xll.DBRW($A$1,$A$2,J$8,$I11,$A$6,$A$5,$B$10,$A$7,$I$8)</f>
        <v>#VALUE!</v>
      </c>
      <c r="K11" s="57" t="e">
        <f>_xll.DBRW($A$1,$A$2,K$8,$I11,$A$6,$A$5,$B$10,$A$7,$I$8)</f>
        <v>#VALUE!</v>
      </c>
      <c r="L11" s="57" t="e">
        <f>_xll.DBRW($A$1,$A$2,L$8,$I11,$A$6,$A$5,$B$10,$A$7,$I$8)</f>
        <v>#VALUE!</v>
      </c>
      <c r="M11" s="57" t="e">
        <f>_xll.DBRW($A$1,$A$2,M$8,$I11,$A$6,$A$5,$B$10,$A$7,$I$8)</f>
        <v>#VALUE!</v>
      </c>
      <c r="N11" s="47"/>
      <c r="O11" s="57" t="e">
        <f>_xll.DBRW($A$1,$A$2,O$8,$I11,$A$6,$A$5,$B$10,$A$7,$I$8)</f>
        <v>#VALUE!</v>
      </c>
    </row>
    <row r="12" spans="1:15">
      <c r="C12" s="49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47"/>
      <c r="O12" s="47"/>
    </row>
    <row r="13" spans="1:15" ht="15" thickBot="1">
      <c r="C13" s="4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47"/>
      <c r="O13" s="47"/>
    </row>
    <row r="14" spans="1:15">
      <c r="C14" s="58" t="s">
        <v>82</v>
      </c>
      <c r="D14" s="64" t="s">
        <v>55</v>
      </c>
      <c r="E14" s="64" t="s">
        <v>56</v>
      </c>
      <c r="F14" s="64" t="s">
        <v>57</v>
      </c>
      <c r="G14" s="65" t="s">
        <v>58</v>
      </c>
      <c r="H14" s="72"/>
      <c r="I14" s="58" t="s">
        <v>83</v>
      </c>
      <c r="J14" s="64" t="s">
        <v>55</v>
      </c>
      <c r="K14" s="64" t="s">
        <v>56</v>
      </c>
      <c r="L14" s="64" t="s">
        <v>57</v>
      </c>
      <c r="M14" s="65" t="s">
        <v>58</v>
      </c>
      <c r="N14" s="49"/>
      <c r="O14" s="71" t="s">
        <v>54</v>
      </c>
    </row>
    <row r="15" spans="1:15">
      <c r="C15" s="59" t="e">
        <f>$C9</f>
        <v>#N/A</v>
      </c>
      <c r="D15" s="57" t="e">
        <f>_xll.DBRW($A$1,$A$2,D$2,$C15,$A$6,$A$5,$B$16,$A$7,$C$14)</f>
        <v>#VALUE!</v>
      </c>
      <c r="E15" s="57" t="e">
        <f>_xll.DBRW($A$1,$A$2,E$2,$C15,$A$6,$A$5,$B$16,$A$7,$C$14)</f>
        <v>#VALUE!</v>
      </c>
      <c r="F15" s="57" t="e">
        <f>_xll.DBRW($A$1,$A$2,F$2,$C15,$A$6,$A$5,$B$16,$A$7,$C$14)</f>
        <v>#VALUE!</v>
      </c>
      <c r="G15" s="57" t="e">
        <f>_xll.DBRW($A$1,$A$2,G$2,$C15,$A$6,$A$5,$B$16,$A$7,$C$14)</f>
        <v>#VALUE!</v>
      </c>
      <c r="H15" s="57"/>
      <c r="I15" s="59" t="e">
        <f>'Vol | Price  (product)'!$AI6</f>
        <v>#N/A</v>
      </c>
      <c r="J15" s="57" t="e">
        <f>_xll.DBRW($A$1,$A$2,J$14,$I15,$A$6,$A$5,$B$16,$A$7,$I$14)</f>
        <v>#VALUE!</v>
      </c>
      <c r="K15" s="57" t="e">
        <f>_xll.DBRW($A$1,$A$2,K$14,$I15,$A$6,$A$5,$B$16,$A$7,$I$14)</f>
        <v>#VALUE!</v>
      </c>
      <c r="L15" s="57" t="e">
        <f>_xll.DBRW($A$1,$A$2,L$14,$I15,$A$6,$A$5,$B$16,$A$7,$I$14)</f>
        <v>#VALUE!</v>
      </c>
      <c r="M15" s="57" t="e">
        <f>_xll.DBRW($A$1,$A$2,M$14,$I15,$A$6,$A$5,$B$16,$A$7,$I$14)</f>
        <v>#VALUE!</v>
      </c>
      <c r="N15" s="47"/>
      <c r="O15" s="57" t="e">
        <f>_xll.DBRW($A$1,$A$2,O$14,$I15,$A$6,$A$5,$B$16,$A$7,$I$14)</f>
        <v>#VALUE!</v>
      </c>
    </row>
    <row r="16" spans="1:15">
      <c r="B16" s="1" t="e">
        <f>'Vol | Price  (product)'!B28</f>
        <v>#N/A</v>
      </c>
      <c r="C16" s="59" t="e">
        <f>$C10</f>
        <v>#N/A</v>
      </c>
      <c r="D16" s="57" t="e">
        <f>_xll.DBRW($A$1,$A$2,D$2,$C16,$A$6,$A$5,$B$16,$A$7,$C$14)</f>
        <v>#VALUE!</v>
      </c>
      <c r="E16" s="57" t="e">
        <f>_xll.DBRW($A$1,$A$2,E$2,$C16,$A$6,$A$5,$B$16,$A$7,$C$14)</f>
        <v>#VALUE!</v>
      </c>
      <c r="F16" s="57" t="e">
        <f>_xll.DBRW($A$1,$A$2,F$2,$C16,$A$6,$A$5,$B$16,$A$7,$C$14)</f>
        <v>#VALUE!</v>
      </c>
      <c r="G16" s="57" t="e">
        <f>_xll.DBRW($A$1,$A$2,G$2,$C16,$A$6,$A$5,$B$16,$A$7,$C$14)</f>
        <v>#VALUE!</v>
      </c>
      <c r="H16" s="57"/>
      <c r="I16" s="59" t="e">
        <f>'Vol | Price  (product)'!$AK6</f>
        <v>#N/A</v>
      </c>
      <c r="J16" s="57" t="e">
        <f>_xll.DBRW($A$1,$A$2,J$14,$I16,$A$6,$A$5,$B$16,$A$7,$I$14)</f>
        <v>#VALUE!</v>
      </c>
      <c r="K16" s="57" t="e">
        <f>_xll.DBRW($A$1,$A$2,K$14,$I16,$A$6,$A$5,$B$16,$A$7,$I$14)</f>
        <v>#VALUE!</v>
      </c>
      <c r="L16" s="57" t="e">
        <f>_xll.DBRW($A$1,$A$2,L$14,$I16,$A$6,$A$5,$B$16,$A$7,$I$14)</f>
        <v>#VALUE!</v>
      </c>
      <c r="M16" s="57" t="e">
        <f>_xll.DBRW($A$1,$A$2,M$14,$I16,$A$6,$A$5,$B$16,$A$7,$I$14)</f>
        <v>#VALUE!</v>
      </c>
      <c r="N16" s="47"/>
      <c r="O16" s="57" t="e">
        <f>_xll.DBRW($A$1,$A$2,O$14,$I16,$A$6,$A$5,$B$16,$A$7,$I$14)</f>
        <v>#VALUE!</v>
      </c>
    </row>
    <row r="17" spans="3:15" ht="15" thickBot="1">
      <c r="C17" s="60" t="e">
        <f>$C11</f>
        <v>#N/A</v>
      </c>
      <c r="D17" s="57" t="e">
        <f>_xll.DBRW($A$1,$A$2,D$2,$C17,$A$6,$A$5,$B$16,$A$7,$C$14)</f>
        <v>#VALUE!</v>
      </c>
      <c r="E17" s="57" t="e">
        <f>_xll.DBRW($A$1,$A$2,E$2,$C17,$A$6,$A$5,$B$16,$A$7,$C$14)</f>
        <v>#VALUE!</v>
      </c>
      <c r="F17" s="57" t="e">
        <f>_xll.DBRW($A$1,$A$2,F$2,$C17,$A$6,$A$5,$B$16,$A$7,$C$14)</f>
        <v>#VALUE!</v>
      </c>
      <c r="G17" s="57" t="e">
        <f>_xll.DBRW($A$1,$A$2,G$2,$C17,$A$6,$A$5,$B$16,$A$7,$C$14)</f>
        <v>#VALUE!</v>
      </c>
      <c r="H17" s="57"/>
      <c r="I17" s="60" t="e">
        <f>'Vol | Price  (product)'!$AM6</f>
        <v>#N/A</v>
      </c>
      <c r="J17" s="57" t="e">
        <f>_xll.DBRW($A$1,$A$2,J$14,$I17,$A$6,$A$5,$B$16,$A$7,$I$14)</f>
        <v>#VALUE!</v>
      </c>
      <c r="K17" s="57" t="e">
        <f>_xll.DBRW($A$1,$A$2,K$14,$I17,$A$6,$A$5,$B$16,$A$7,$I$14)</f>
        <v>#VALUE!</v>
      </c>
      <c r="L17" s="57" t="e">
        <f>_xll.DBRW($A$1,$A$2,L$14,$I17,$A$6,$A$5,$B$16,$A$7,$I$14)</f>
        <v>#VALUE!</v>
      </c>
      <c r="M17" s="57" t="e">
        <f>_xll.DBRW($A$1,$A$2,M$14,$I17,$A$6,$A$5,$B$16,$A$7,$I$14)</f>
        <v>#VALUE!</v>
      </c>
      <c r="N17" s="47"/>
      <c r="O17" s="57" t="e">
        <f>_xll.DBRW($A$1,$A$2,O$14,$I17,$A$6,$A$5,$B$16,$A$7,$I$14)</f>
        <v>#VALUE!</v>
      </c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C505-467C-44A5-A84C-81C0D96459B7}">
  <sheetPr codeName="Planilha14"/>
  <dimension ref="A1:AQ36"/>
  <sheetViews>
    <sheetView showGridLines="0" workbookViewId="0">
      <selection activeCell="AP17" sqref="AP17"/>
    </sheetView>
  </sheetViews>
  <sheetFormatPr defaultRowHeight="14.4"/>
  <cols>
    <col min="1" max="1" width="5.6640625" customWidth="1"/>
    <col min="2" max="27" width="4.33203125" customWidth="1"/>
    <col min="44" max="46" width="5.33203125" customWidth="1"/>
    <col min="47" max="53" width="7" customWidth="1"/>
  </cols>
  <sheetData>
    <row r="1" spans="1:43" ht="15" customHeight="1">
      <c r="B1" s="226" t="s">
        <v>109</v>
      </c>
      <c r="C1" s="226"/>
      <c r="D1" s="226"/>
      <c r="E1" s="226"/>
      <c r="F1" s="226"/>
      <c r="G1" s="226"/>
      <c r="H1" s="226"/>
      <c r="I1" s="226"/>
    </row>
    <row r="2" spans="1:43" ht="14.4" customHeight="1">
      <c r="B2" s="226"/>
      <c r="C2" s="226"/>
      <c r="D2" s="226"/>
      <c r="E2" s="226"/>
      <c r="F2" s="226"/>
      <c r="G2" s="226"/>
      <c r="H2" s="226"/>
      <c r="I2" s="226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</row>
    <row r="3" spans="1:43" ht="15" customHeight="1">
      <c r="I3" s="84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</row>
    <row r="4" spans="1:43" ht="6.6" customHeight="1">
      <c r="B4" s="89"/>
      <c r="C4" s="89"/>
      <c r="D4" s="89"/>
      <c r="E4" s="89"/>
      <c r="F4" s="89"/>
      <c r="G4" s="89"/>
      <c r="H4" s="89"/>
      <c r="I4" s="138"/>
      <c r="J4" s="146"/>
      <c r="K4" s="146"/>
      <c r="L4" s="146"/>
      <c r="M4" s="139"/>
      <c r="N4" s="139"/>
      <c r="O4" s="139"/>
      <c r="P4" s="139"/>
      <c r="Q4" s="139"/>
      <c r="R4" s="139"/>
      <c r="S4" s="139"/>
      <c r="T4" s="139"/>
      <c r="U4" s="13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</row>
    <row r="5" spans="1:43" ht="12.6" customHeight="1">
      <c r="B5" s="85"/>
      <c r="C5" s="85"/>
      <c r="D5" s="85"/>
      <c r="E5" s="85"/>
      <c r="F5" s="85"/>
      <c r="G5" s="85"/>
      <c r="H5" s="85"/>
      <c r="I5" s="136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</row>
    <row r="6" spans="1:43" ht="21.6" customHeight="1">
      <c r="B6" s="85"/>
      <c r="C6" s="103"/>
      <c r="D6" s="85"/>
      <c r="E6" s="85"/>
      <c r="F6" s="85"/>
      <c r="G6" s="85"/>
      <c r="H6" s="85"/>
      <c r="I6" s="85"/>
      <c r="J6" s="85"/>
      <c r="K6" s="85"/>
      <c r="L6" s="85"/>
      <c r="M6" s="248" t="e">
        <f>_xll.SUBNM("CONS_VC_PRD:ALL.D.Year","","2025")</f>
        <v>#N/A</v>
      </c>
      <c r="N6" s="248"/>
      <c r="O6" s="248"/>
      <c r="P6" s="85"/>
      <c r="Q6" s="85"/>
      <c r="R6" s="247" t="e">
        <f>_xll.SUBNM("CONS_VC_PRD:ALL.D.Region","DEFAuLT","VCBR - VCBR","Código e Descrição" )</f>
        <v>#N/A</v>
      </c>
      <c r="S6" s="247"/>
      <c r="T6" s="247"/>
      <c r="U6" s="247"/>
      <c r="V6" s="85"/>
      <c r="W6" s="85"/>
      <c r="X6" s="263" t="e">
        <f>_xll.SUBNM("CONS_VC_PRD:ALL.D.Currency","Default","BRL","Código e Descrição")</f>
        <v>#N/A</v>
      </c>
      <c r="Y6" s="263"/>
      <c r="Z6" s="263"/>
      <c r="AA6" s="263"/>
      <c r="AB6" s="85"/>
      <c r="AC6" s="103"/>
      <c r="AD6" s="85"/>
      <c r="AE6" s="85"/>
      <c r="AF6" s="85"/>
      <c r="AG6" s="85"/>
      <c r="AH6" s="85"/>
      <c r="AI6" s="113" t="e">
        <f>_xll.SUBNM("CONS_VC_PRD:ALL.D.Version","Sys.Report","Actual","Descrição")</f>
        <v>#N/A</v>
      </c>
      <c r="AJ6" s="141"/>
      <c r="AK6" s="113" t="e">
        <f>_xll.SUBNM("CONS_VC_PRD:ALL.D.Version","Sys.Report","L300","Descrição")</f>
        <v>#N/A</v>
      </c>
      <c r="AL6" s="142"/>
      <c r="AM6" s="113" t="e">
        <f>_xll.SUBNM("CONS_VC_PRD:ALL.D.Version","Sys.Report","RF","Descrição")</f>
        <v>#N/A</v>
      </c>
      <c r="AN6" s="143"/>
      <c r="AQ6" s="82"/>
    </row>
    <row r="7" spans="1:43" ht="12.6" customHeight="1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85"/>
      <c r="AI7" s="85"/>
      <c r="AJ7" s="85"/>
      <c r="AK7" s="85"/>
      <c r="AL7" s="85"/>
      <c r="AM7" s="85"/>
      <c r="AN7" s="85"/>
    </row>
    <row r="8" spans="1:43" ht="15" customHeight="1" thickBot="1">
      <c r="G8" s="134" t="s">
        <v>81</v>
      </c>
      <c r="H8" s="134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AB8" s="149" t="e">
        <f>"FOB Price " &amp;( X6 )</f>
        <v>#N/A</v>
      </c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</row>
    <row r="9" spans="1:43" ht="14.4" customHeight="1">
      <c r="B9" s="264" t="e">
        <f>_xll.SUBNM("CONS_VC_PRD:ALL.D.Products","Products","PRODCE010 - Cement","Código e Descrição")</f>
        <v>#N/A</v>
      </c>
      <c r="C9" s="265"/>
      <c r="D9" s="265"/>
      <c r="E9" s="266"/>
    </row>
    <row r="10" spans="1:43">
      <c r="B10" s="267"/>
      <c r="C10" s="268"/>
      <c r="D10" s="268"/>
      <c r="E10" s="269"/>
    </row>
    <row r="11" spans="1:43">
      <c r="A11" s="273"/>
      <c r="B11" s="267"/>
      <c r="C11" s="268"/>
      <c r="D11" s="268"/>
      <c r="E11" s="269"/>
    </row>
    <row r="12" spans="1:43">
      <c r="A12" s="273"/>
      <c r="B12" s="267"/>
      <c r="C12" s="268"/>
      <c r="D12" s="268"/>
      <c r="E12" s="269"/>
    </row>
    <row r="13" spans="1:43">
      <c r="B13" s="267"/>
      <c r="C13" s="268"/>
      <c r="D13" s="268"/>
      <c r="E13" s="269"/>
    </row>
    <row r="14" spans="1:43">
      <c r="B14" s="270"/>
      <c r="C14" s="271"/>
      <c r="D14" s="271"/>
      <c r="E14" s="272"/>
    </row>
    <row r="19" spans="1:21">
      <c r="B19" s="264" t="e">
        <f>_xll.SUBNM("CONS_VC_PRD:ALL.D.Products","Products","PRODRM010 - Ready Mix","Código e Descrição")</f>
        <v>#N/A</v>
      </c>
      <c r="C19" s="265"/>
      <c r="D19" s="265"/>
      <c r="E19" s="266"/>
    </row>
    <row r="20" spans="1:21">
      <c r="B20" s="267"/>
      <c r="C20" s="268"/>
      <c r="D20" s="268"/>
      <c r="E20" s="269"/>
    </row>
    <row r="21" spans="1:21">
      <c r="A21" s="273"/>
      <c r="B21" s="267"/>
      <c r="C21" s="268"/>
      <c r="D21" s="268"/>
      <c r="E21" s="269"/>
    </row>
    <row r="22" spans="1:21">
      <c r="A22" s="273"/>
      <c r="B22" s="267"/>
      <c r="C22" s="268"/>
      <c r="D22" s="268"/>
      <c r="E22" s="269"/>
    </row>
    <row r="23" spans="1:21">
      <c r="B23" s="267"/>
      <c r="C23" s="268"/>
      <c r="D23" s="268"/>
      <c r="E23" s="269"/>
    </row>
    <row r="24" spans="1:21">
      <c r="B24" s="270"/>
      <c r="C24" s="271"/>
      <c r="D24" s="271"/>
      <c r="E24" s="272"/>
    </row>
    <row r="26" spans="1:21">
      <c r="A26" s="27"/>
      <c r="E26" s="147"/>
      <c r="F26" s="16"/>
      <c r="G26" s="17"/>
      <c r="H26" s="14"/>
      <c r="I26" s="14"/>
      <c r="J26" s="15"/>
      <c r="K26" s="16"/>
      <c r="L26" s="17"/>
      <c r="M26" s="14"/>
      <c r="N26" s="15"/>
      <c r="O26" s="16"/>
      <c r="P26" s="17"/>
      <c r="Q26" s="14"/>
      <c r="R26" s="14"/>
      <c r="S26" s="15"/>
      <c r="T26" s="16"/>
      <c r="U26" s="17"/>
    </row>
    <row r="28" spans="1:21">
      <c r="B28" s="264" t="e">
        <f>_xll.SUBNM("CONS_VC_PRD:ALL.D.Products","Products","PRODAG010 - Aggregates","Código e Descrição")</f>
        <v>#N/A</v>
      </c>
      <c r="C28" s="265"/>
      <c r="D28" s="265"/>
      <c r="E28" s="266"/>
    </row>
    <row r="29" spans="1:21">
      <c r="B29" s="267"/>
      <c r="C29" s="268"/>
      <c r="D29" s="268"/>
      <c r="E29" s="269"/>
    </row>
    <row r="30" spans="1:21">
      <c r="A30" s="273"/>
      <c r="B30" s="267"/>
      <c r="C30" s="268"/>
      <c r="D30" s="268"/>
      <c r="E30" s="269"/>
    </row>
    <row r="31" spans="1:21">
      <c r="A31" s="273"/>
      <c r="B31" s="267"/>
      <c r="C31" s="268"/>
      <c r="D31" s="268"/>
      <c r="E31" s="269"/>
      <c r="F31" s="51"/>
      <c r="G31" s="51"/>
      <c r="H31" s="51"/>
      <c r="I31" s="51"/>
    </row>
    <row r="32" spans="1:21">
      <c r="B32" s="267"/>
      <c r="C32" s="268"/>
      <c r="D32" s="268"/>
      <c r="E32" s="269"/>
      <c r="F32" s="51"/>
      <c r="G32" s="51"/>
      <c r="H32" s="51"/>
      <c r="I32" s="51"/>
    </row>
    <row r="33" spans="2:30">
      <c r="B33" s="270"/>
      <c r="C33" s="271"/>
      <c r="D33" s="271"/>
      <c r="E33" s="272"/>
      <c r="F33" s="51"/>
      <c r="G33" s="51"/>
      <c r="H33" s="51"/>
      <c r="I33" s="51"/>
    </row>
    <row r="34" spans="2:30">
      <c r="D34" s="148"/>
      <c r="E34" s="148"/>
      <c r="F34" s="51"/>
      <c r="G34" s="51"/>
      <c r="H34" s="51"/>
      <c r="I34" s="51"/>
    </row>
    <row r="36" spans="2:30">
      <c r="AD36" s="50"/>
    </row>
  </sheetData>
  <mergeCells count="10">
    <mergeCell ref="B28:E33"/>
    <mergeCell ref="A11:A12"/>
    <mergeCell ref="A21:A22"/>
    <mergeCell ref="A30:A31"/>
    <mergeCell ref="M6:O6"/>
    <mergeCell ref="R6:U6"/>
    <mergeCell ref="X6:AA6"/>
    <mergeCell ref="B1:I2"/>
    <mergeCell ref="B9:E14"/>
    <mergeCell ref="B19:E24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AD0E-8ED1-4B1B-9B04-3FBE06960F80}">
  <sheetPr codeName="Planilha15"/>
  <dimension ref="A1:O24"/>
  <sheetViews>
    <sheetView workbookViewId="0">
      <selection activeCell="O22" sqref="O22:O24"/>
    </sheetView>
  </sheetViews>
  <sheetFormatPr defaultRowHeight="14.4"/>
  <cols>
    <col min="1" max="1" width="20" customWidth="1"/>
    <col min="9" max="9" width="9" customWidth="1"/>
  </cols>
  <sheetData>
    <row r="1" spans="1:15">
      <c r="A1" s="29" t="s">
        <v>6</v>
      </c>
    </row>
    <row r="2" spans="1:15">
      <c r="A2" s="1" t="str">
        <f>_xll.SUBNM("CONS_VC:ALL.D.Year","","2025")</f>
        <v>2025</v>
      </c>
    </row>
    <row r="3" spans="1:15">
      <c r="A3" s="1" t="s">
        <v>0</v>
      </c>
    </row>
    <row r="4" spans="1:15">
      <c r="A4" s="1" t="s">
        <v>75</v>
      </c>
    </row>
    <row r="5" spans="1:15">
      <c r="A5" s="1"/>
    </row>
    <row r="7" spans="1:15">
      <c r="A7" s="1" t="s">
        <v>84</v>
      </c>
      <c r="B7" s="28"/>
      <c r="I7" s="28"/>
    </row>
    <row r="8" spans="1:15" ht="15" thickBot="1">
      <c r="B8" s="1" t="e">
        <f>'Reg | Product'!$D$6</f>
        <v>#N/A</v>
      </c>
      <c r="I8" s="1" t="e">
        <f>'Reg | Product'!$D$6</f>
        <v>#N/A</v>
      </c>
    </row>
    <row r="9" spans="1:15">
      <c r="B9" s="58" t="s">
        <v>82</v>
      </c>
      <c r="C9" s="61" t="s">
        <v>55</v>
      </c>
      <c r="D9" s="61" t="s">
        <v>56</v>
      </c>
      <c r="E9" s="61" t="s">
        <v>57</v>
      </c>
      <c r="F9" s="62" t="s">
        <v>58</v>
      </c>
      <c r="G9" s="1"/>
      <c r="H9" s="1"/>
      <c r="I9" s="58" t="s">
        <v>83</v>
      </c>
      <c r="J9" s="61" t="s">
        <v>55</v>
      </c>
      <c r="K9" s="61" t="s">
        <v>56</v>
      </c>
      <c r="L9" s="61" t="s">
        <v>57</v>
      </c>
      <c r="M9" s="62" t="s">
        <v>58</v>
      </c>
      <c r="N9" s="1"/>
      <c r="O9" s="63" t="s">
        <v>54</v>
      </c>
    </row>
    <row r="10" spans="1:15">
      <c r="B10" s="76" t="e">
        <f>'Reg | Product'!$AI$6</f>
        <v>#N/A</v>
      </c>
      <c r="C10" s="48" t="e">
        <f>_xll.DBRW($A$1,$A$2,C$9,$B10,$A$12,$A$11,$B$8,$A$7,$B$9)</f>
        <v>#VALUE!</v>
      </c>
      <c r="D10" s="48" t="e">
        <f>_xll.DBRW($A$1,$A$2,D$9,$B10,$A$12,$A$11,$B$8,$A$7,$B$9)</f>
        <v>#VALUE!</v>
      </c>
      <c r="E10" s="48" t="e">
        <f>_xll.DBRW($A$1,$A$2,E$9,$B10,$A$12,$A$11,$B$8,$A$7,$B$9)</f>
        <v>#VALUE!</v>
      </c>
      <c r="F10" s="52" t="e">
        <f>_xll.DBRW($A$1,$A$2,F$9,$B10,$A$12,$A$11,$B$8,$A$7,$B$9)</f>
        <v>#VALUE!</v>
      </c>
      <c r="G10" s="48"/>
      <c r="H10" s="48"/>
      <c r="I10" s="76" t="e">
        <f>'Reg | Product'!$AI$6</f>
        <v>#N/A</v>
      </c>
      <c r="J10" s="48" t="e">
        <f>_xll.DBRW($A$1,$A$2,J$9,$I10,$A$12,$A$11,$I$8,$A$7,$I$9)</f>
        <v>#VALUE!</v>
      </c>
      <c r="K10" s="48" t="e">
        <f>_xll.DBRW($A$1,$A$2,K$9,$I10,$A$12,$A$11,$I$8,$A$7,$I$9)</f>
        <v>#VALUE!</v>
      </c>
      <c r="L10" s="48" t="e">
        <f>_xll.DBRW($A$1,$A$2,L$9,$I10,$A$12,$A$11,$I$8,$A$7,$I$9)</f>
        <v>#VALUE!</v>
      </c>
      <c r="M10" s="52" t="e">
        <f>_xll.DBRW($A$1,$A$2,M$9,$I10,$A$12,$A$11,$I$8,$A$7,$I$9)</f>
        <v>#VALUE!</v>
      </c>
      <c r="O10" s="55" t="e">
        <f>_xll.DBRW($A$1,$A$2,O$9,$I10,$A$12,$A$11,$I$8,$A$7,$I$9)</f>
        <v>#VALUE!</v>
      </c>
    </row>
    <row r="11" spans="1:15">
      <c r="A11" t="e">
        <f>'Reg | Product'!B9</f>
        <v>#N/A</v>
      </c>
      <c r="B11" s="77" t="e">
        <f>'Reg | Product'!$AK$6</f>
        <v>#N/A</v>
      </c>
      <c r="C11" s="48" t="e">
        <f>_xll.DBRW($A$1,$A$2,C$9,$B11,$A$12,$A$11,$B$8,$A$7,$B$9)</f>
        <v>#VALUE!</v>
      </c>
      <c r="D11" s="48" t="e">
        <f>_xll.DBRW($A$1,$A$2,D$9,$B11,$A$12,$A$11,$B$8,$A$7,$B$9)</f>
        <v>#VALUE!</v>
      </c>
      <c r="E11" s="48" t="e">
        <f>_xll.DBRW($A$1,$A$2,E$9,$B11,$A$12,$A$11,$B$8,$A$7,$B$9)</f>
        <v>#VALUE!</v>
      </c>
      <c r="F11" s="52" t="e">
        <f>_xll.DBRW($A$1,$A$2,F$9,$B11,$A$12,$A$11,$B$8,$A$7,$B$9)</f>
        <v>#VALUE!</v>
      </c>
      <c r="G11" s="48"/>
      <c r="H11" s="48"/>
      <c r="I11" s="77" t="e">
        <f>'Reg | Product'!$AK$6</f>
        <v>#N/A</v>
      </c>
      <c r="J11" s="48" t="e">
        <f>_xll.DBRW($A$1,$A$2,J$9,$I11,$A$12,$A$11,$I$8,$A$7,$I$9)</f>
        <v>#VALUE!</v>
      </c>
      <c r="K11" s="48" t="e">
        <f>_xll.DBRW($A$1,$A$2,K$9,$I11,$A$12,$A$11,$I$8,$A$7,$I$9)</f>
        <v>#VALUE!</v>
      </c>
      <c r="L11" s="48" t="e">
        <f>_xll.DBRW($A$1,$A$2,L$9,$I11,$A$12,$A$11,$I$8,$A$7,$I$9)</f>
        <v>#VALUE!</v>
      </c>
      <c r="M11" s="52" t="e">
        <f>_xll.DBRW($A$1,$A$2,M$9,$I11,$A$12,$A$11,$I$8,$A$7,$I$9)</f>
        <v>#VALUE!</v>
      </c>
      <c r="O11" s="55" t="e">
        <f>_xll.DBRW($A$1,$A$2,O$9,$I11,$A$12,$A$11,$I$8,$A$7,$I$9)</f>
        <v>#VALUE!</v>
      </c>
    </row>
    <row r="12" spans="1:15" ht="15" thickBot="1">
      <c r="A12" s="73" t="e">
        <f>'Reg | Product'!B12</f>
        <v>#N/A</v>
      </c>
      <c r="B12" s="78" t="e">
        <f>'Reg | Product'!$AM$6</f>
        <v>#N/A</v>
      </c>
      <c r="C12" s="53" t="e">
        <f>_xll.DBRW($A$1,$A$2,C$9,$B12,$A$12,$A$11,$B$8,$A$7,$B$9)</f>
        <v>#VALUE!</v>
      </c>
      <c r="D12" s="53" t="e">
        <f>_xll.DBRW($A$1,$A$2,D$9,$B12,$A$12,$A$11,$B$8,$A$7,$B$9)</f>
        <v>#VALUE!</v>
      </c>
      <c r="E12" s="53" t="e">
        <f>_xll.DBRW($A$1,$A$2,E$9,$B12,$A$12,$A$11,$B$8,$A$7,$B$9)</f>
        <v>#VALUE!</v>
      </c>
      <c r="F12" s="54" t="e">
        <f>_xll.DBRW($A$1,$A$2,F$9,$B12,$A$12,$A$11,$B$8,$A$7,$B$9)</f>
        <v>#VALUE!</v>
      </c>
      <c r="G12" s="48"/>
      <c r="H12" s="48"/>
      <c r="I12" s="78" t="e">
        <f>'Reg | Product'!$AM$6</f>
        <v>#N/A</v>
      </c>
      <c r="J12" s="53" t="e">
        <f>_xll.DBRW($A$1,$A$2,J$9,$I12,$A$12,$A$11,$I$8,$A$7,$I$9)</f>
        <v>#VALUE!</v>
      </c>
      <c r="K12" s="53" t="e">
        <f>_xll.DBRW($A$1,$A$2,K$9,$I12,$A$12,$A$11,$I$8,$A$7,$I$9)</f>
        <v>#VALUE!</v>
      </c>
      <c r="L12" s="53" t="e">
        <f>_xll.DBRW($A$1,$A$2,L$9,$I12,$A$12,$A$11,$I$8,$A$7,$I$9)</f>
        <v>#VALUE!</v>
      </c>
      <c r="M12" s="54" t="e">
        <f>_xll.DBRW($A$1,$A$2,M$9,$I12,$A$12,$A$11,$I$8,$A$7,$I$9)</f>
        <v>#VALUE!</v>
      </c>
      <c r="O12" s="56" t="e">
        <f>_xll.DBRW($A$1,$A$2,O$9,$I12,$A$12,$A$11,$I$8,$A$7,$I$9)</f>
        <v>#VALUE!</v>
      </c>
    </row>
    <row r="13" spans="1:15">
      <c r="B13" s="1"/>
      <c r="C13" s="48"/>
      <c r="D13" s="48"/>
      <c r="E13" s="48"/>
      <c r="F13" s="48"/>
      <c r="G13" s="48"/>
      <c r="H13" s="48"/>
      <c r="I13" s="75">
        <f>'Reg | Product'!$X$6</f>
        <v>0</v>
      </c>
      <c r="J13" s="48"/>
      <c r="K13" s="48"/>
      <c r="L13" s="48"/>
      <c r="M13" s="48"/>
    </row>
    <row r="14" spans="1:15" ht="15" thickBot="1">
      <c r="B14" s="75"/>
      <c r="C14" s="48"/>
      <c r="D14" s="48"/>
      <c r="E14" s="48"/>
      <c r="F14" s="48"/>
      <c r="G14" s="48"/>
      <c r="H14" s="48"/>
      <c r="I14" s="1"/>
      <c r="J14" s="48"/>
      <c r="K14" s="48"/>
      <c r="L14" s="48"/>
      <c r="M14" s="48"/>
    </row>
    <row r="15" spans="1:15">
      <c r="B15" s="58" t="s">
        <v>82</v>
      </c>
      <c r="C15" s="67" t="s">
        <v>55</v>
      </c>
      <c r="D15" s="67" t="s">
        <v>56</v>
      </c>
      <c r="E15" s="67" t="s">
        <v>57</v>
      </c>
      <c r="F15" s="68" t="s">
        <v>58</v>
      </c>
      <c r="G15" s="66"/>
      <c r="H15" s="66"/>
      <c r="I15" s="74" t="s">
        <v>83</v>
      </c>
      <c r="J15" s="67" t="s">
        <v>55</v>
      </c>
      <c r="K15" s="67" t="s">
        <v>56</v>
      </c>
      <c r="L15" s="67" t="s">
        <v>57</v>
      </c>
      <c r="M15" s="68" t="s">
        <v>58</v>
      </c>
      <c r="N15" s="1"/>
      <c r="O15" s="63" t="s">
        <v>54</v>
      </c>
    </row>
    <row r="16" spans="1:15">
      <c r="B16" s="76" t="e">
        <f>'Reg | Product'!$AI$6</f>
        <v>#N/A</v>
      </c>
      <c r="C16" s="48" t="e">
        <f>_xll.DBRW($A$1,$A$2,C$15,$B16,$A$18,$A$17,$B$8,$A$7,$B$15)</f>
        <v>#VALUE!</v>
      </c>
      <c r="D16" s="48" t="e">
        <f>_xll.DBRW($A$1,$A$2,D$15,$B16,$A$18,$A$17,$B$8,$A$7,$B$15)</f>
        <v>#VALUE!</v>
      </c>
      <c r="E16" s="48" t="e">
        <f>_xll.DBRW($A$1,$A$2,E$15,$B16,$A$18,$A$17,$B$8,$A$7,$B$15)</f>
        <v>#VALUE!</v>
      </c>
      <c r="F16" s="52" t="e">
        <f>_xll.DBRW($A$1,$A$2,F$15,$B16,$A$18,$A$17,$B$8,$A$7,$B$15)</f>
        <v>#VALUE!</v>
      </c>
      <c r="G16" s="48"/>
      <c r="H16" s="48"/>
      <c r="I16" s="76" t="e">
        <f>'Reg | Product'!$AI$6</f>
        <v>#N/A</v>
      </c>
      <c r="J16" s="48" t="e">
        <f>_xll.DBRW($A$1,$A$2,J$15,$I16,$A$18,$A$17,$I$8,$A$7,$I$15)</f>
        <v>#VALUE!</v>
      </c>
      <c r="K16" s="48" t="e">
        <f>_xll.DBRW($A$1,$A$2,K$15,$I16,$A$18,$A$17,$I$8,$A$7,$I$15)</f>
        <v>#VALUE!</v>
      </c>
      <c r="L16" s="48" t="e">
        <f>_xll.DBRW($A$1,$A$2,L$15,$I16,$A$18,$A$17,$I$8,$A$7,$I$15)</f>
        <v>#VALUE!</v>
      </c>
      <c r="M16" s="52" t="e">
        <f>_xll.DBRW($A$1,$A$2,M$15,$I16,$A$18,$A$17,$I$8,$A$7,$I$15)</f>
        <v>#VALUE!</v>
      </c>
      <c r="O16" s="55" t="e">
        <f>_xll.DBRW($A$1,$A$2,O$15,$I16,$A$18,$A$17,$I$8,$A$7,$I$15)</f>
        <v>#VALUE!</v>
      </c>
    </row>
    <row r="17" spans="1:15">
      <c r="A17" t="e">
        <f>'Reg | Product'!B19</f>
        <v>#N/A</v>
      </c>
      <c r="B17" s="77" t="e">
        <f>'Reg | Product'!$AK$6</f>
        <v>#N/A</v>
      </c>
      <c r="C17" s="48" t="e">
        <f>_xll.DBRW($A$1,$A$2,C$15,$B17,$A$18,$A$17,$B$8,$A$7,$B$15)</f>
        <v>#VALUE!</v>
      </c>
      <c r="D17" s="48" t="e">
        <f>_xll.DBRW($A$1,$A$2,D$15,$B17,$A$18,$A$17,$B$8,$A$7,$B$15)</f>
        <v>#VALUE!</v>
      </c>
      <c r="E17" s="48" t="e">
        <f>_xll.DBRW($A$1,$A$2,E$15,$B17,$A$18,$A$17,$B$8,$A$7,$B$15)</f>
        <v>#VALUE!</v>
      </c>
      <c r="F17" s="52" t="e">
        <f>_xll.DBRW($A$1,$A$2,F$15,$B17,$A$18,$A$17,$B$8,$A$7,$B$15)</f>
        <v>#VALUE!</v>
      </c>
      <c r="G17" s="48"/>
      <c r="H17" s="48"/>
      <c r="I17" s="77" t="e">
        <f>'Reg | Product'!$AK$6</f>
        <v>#N/A</v>
      </c>
      <c r="J17" s="48" t="e">
        <f>_xll.DBRW($A$1,$A$2,J$15,$I17,$A$18,$A$17,$I$8,$A$7,$I$15)</f>
        <v>#VALUE!</v>
      </c>
      <c r="K17" s="48" t="e">
        <f>_xll.DBRW($A$1,$A$2,K$15,$I17,$A$18,$A$17,$I$8,$A$7,$I$15)</f>
        <v>#VALUE!</v>
      </c>
      <c r="L17" s="48" t="e">
        <f>_xll.DBRW($A$1,$A$2,L$15,$I17,$A$18,$A$17,$I$8,$A$7,$I$15)</f>
        <v>#VALUE!</v>
      </c>
      <c r="M17" s="52" t="e">
        <f>_xll.DBRW($A$1,$A$2,M$15,$I17,$A$18,$A$17,$I$8,$A$7,$I$15)</f>
        <v>#VALUE!</v>
      </c>
      <c r="O17" s="55" t="e">
        <f>_xll.DBRW($A$1,$A$2,O$15,$I17,$A$18,$A$17,$I$8,$A$7,$I$15)</f>
        <v>#VALUE!</v>
      </c>
    </row>
    <row r="18" spans="1:15" ht="15" thickBot="1">
      <c r="A18" t="e">
        <f>'Reg | Product'!B22</f>
        <v>#N/A</v>
      </c>
      <c r="B18" s="78" t="e">
        <f>'Reg | Product'!$AM$6</f>
        <v>#N/A</v>
      </c>
      <c r="C18" s="53" t="e">
        <f>_xll.DBRW($A$1,$A$2,C$15,$B18,$A$18,$A$17,$B$8,$A$7,$B$15)</f>
        <v>#VALUE!</v>
      </c>
      <c r="D18" s="53" t="e">
        <f>_xll.DBRW($A$1,$A$2,D$15,$B18,$A$18,$A$17,$B$8,$A$7,$B$15)</f>
        <v>#VALUE!</v>
      </c>
      <c r="E18" s="53" t="e">
        <f>_xll.DBRW($A$1,$A$2,E$15,$B18,$A$18,$A$17,$B$8,$A$7,$B$15)</f>
        <v>#VALUE!</v>
      </c>
      <c r="F18" s="54" t="e">
        <f>_xll.DBRW($A$1,$A$2,F$15,$B18,$A$18,$A$17,$B$8,$A$7,$B$15)</f>
        <v>#VALUE!</v>
      </c>
      <c r="G18" s="48"/>
      <c r="H18" s="48"/>
      <c r="I18" s="78" t="e">
        <f>'Reg | Product'!$AM$6</f>
        <v>#N/A</v>
      </c>
      <c r="J18" s="53" t="e">
        <f>_xll.DBRW($A$1,$A$2,J$15,$I18,$A$18,$A$17,$I$8,$A$7,$I$15)</f>
        <v>#VALUE!</v>
      </c>
      <c r="K18" s="53" t="e">
        <f>_xll.DBRW($A$1,$A$2,K$15,$I18,$A$18,$A$17,$I$8,$A$7,$I$15)</f>
        <v>#VALUE!</v>
      </c>
      <c r="L18" s="53" t="e">
        <f>_xll.DBRW($A$1,$A$2,L$15,$I18,$A$18,$A$17,$I$8,$A$7,$I$15)</f>
        <v>#VALUE!</v>
      </c>
      <c r="M18" s="54" t="e">
        <f>_xll.DBRW($A$1,$A$2,M$15,$I18,$A$18,$A$17,$I$8,$A$7,$I$15)</f>
        <v>#VALUE!</v>
      </c>
      <c r="O18" s="56" t="e">
        <f>_xll.DBRW($A$1,$A$2,O$15,$I18,$A$18,$A$17,$I$8,$A$7,$I$15)</f>
        <v>#VALUE!</v>
      </c>
    </row>
    <row r="19" spans="1:15">
      <c r="B19" s="75">
        <f>'Reg | Product'!$X$6</f>
        <v>0</v>
      </c>
      <c r="C19" s="48"/>
      <c r="D19" s="48"/>
      <c r="E19" s="48"/>
      <c r="F19" s="48"/>
      <c r="G19" s="48"/>
      <c r="H19" s="48"/>
      <c r="I19" s="75">
        <f>'Reg | Product'!$X$6</f>
        <v>0</v>
      </c>
      <c r="J19" s="48"/>
      <c r="K19" s="48"/>
      <c r="L19" s="48"/>
      <c r="M19" s="48"/>
    </row>
    <row r="20" spans="1:15" ht="15" thickBot="1">
      <c r="B20" s="1"/>
      <c r="C20" s="48"/>
      <c r="D20" s="48"/>
      <c r="E20" s="48"/>
      <c r="F20" s="48"/>
      <c r="G20" s="48"/>
      <c r="H20" s="48"/>
      <c r="I20" s="1"/>
      <c r="J20" s="48"/>
      <c r="K20" s="48"/>
      <c r="L20" s="48"/>
      <c r="M20" s="48"/>
    </row>
    <row r="21" spans="1:15">
      <c r="B21" s="58" t="s">
        <v>82</v>
      </c>
      <c r="C21" s="67" t="s">
        <v>55</v>
      </c>
      <c r="D21" s="67" t="s">
        <v>56</v>
      </c>
      <c r="E21" s="67" t="s">
        <v>57</v>
      </c>
      <c r="F21" s="68" t="s">
        <v>58</v>
      </c>
      <c r="G21" s="66"/>
      <c r="H21" s="66"/>
      <c r="I21" s="74" t="s">
        <v>83</v>
      </c>
      <c r="J21" s="67" t="s">
        <v>55</v>
      </c>
      <c r="K21" s="67" t="s">
        <v>56</v>
      </c>
      <c r="L21" s="67" t="s">
        <v>57</v>
      </c>
      <c r="M21" s="68" t="s">
        <v>58</v>
      </c>
      <c r="N21" s="1"/>
      <c r="O21" s="63" t="s">
        <v>54</v>
      </c>
    </row>
    <row r="22" spans="1:15">
      <c r="A22" t="e">
        <f>'Reg | Product'!B28</f>
        <v>#N/A</v>
      </c>
      <c r="B22" s="76" t="e">
        <f>'Reg | Product'!$AI$6</f>
        <v>#N/A</v>
      </c>
      <c r="C22" s="48" t="e">
        <f>_xll.DBRW($A$1,$A$2,C$15,$B22,$A$23,$A$22,$B$8,$A$7,$B$15)</f>
        <v>#VALUE!</v>
      </c>
      <c r="D22" s="48" t="e">
        <f>_xll.DBRW($A$1,$A$2,D$15,$B22,$A$23,$A$22,$B$8,$A$7,$B$15)</f>
        <v>#VALUE!</v>
      </c>
      <c r="E22" s="48" t="e">
        <f>_xll.DBRW($A$1,$A$2,E$15,$B22,$A$23,$A$22,$B$8,$A$7,$B$15)</f>
        <v>#VALUE!</v>
      </c>
      <c r="F22" s="52" t="e">
        <f>_xll.DBRW($A$1,$A$2,F$15,$B22,$A$23,$A$22,$B$8,$A$7,$B$15)</f>
        <v>#VALUE!</v>
      </c>
      <c r="G22" s="48"/>
      <c r="H22" s="48"/>
      <c r="I22" s="76" t="e">
        <f>'Reg | Product'!$AI$6</f>
        <v>#N/A</v>
      </c>
      <c r="J22" s="48" t="e">
        <f>_xll.DBRW($A$1,$A$2,J$21,$I22,$A$23,$A$22,$I$8,$A$7,$I$21)</f>
        <v>#VALUE!</v>
      </c>
      <c r="K22" s="48" t="e">
        <f>_xll.DBRW($A$1,$A$2,K$21,$I22,$A$23,$A$22,$I$8,$A$7,$I$21)</f>
        <v>#VALUE!</v>
      </c>
      <c r="L22" s="48" t="e">
        <f>_xll.DBRW($A$1,$A$2,L$21,$I22,$A$23,$A$22,$I$8,$A$7,$I$21)</f>
        <v>#VALUE!</v>
      </c>
      <c r="M22" s="52" t="e">
        <f>_xll.DBRW($A$1,$A$2,M$21,$I22,$A$23,$A$22,$I$8,$A$7,$I$21)</f>
        <v>#VALUE!</v>
      </c>
      <c r="O22" s="55" t="e">
        <f>_xll.DBRW($A$1,$A$2,O$21,$I22,$A$23,$A$22,$I$8,$A$7,$I$21)</f>
        <v>#VALUE!</v>
      </c>
    </row>
    <row r="23" spans="1:15">
      <c r="A23" t="e">
        <f>'Reg | Product'!B31</f>
        <v>#N/A</v>
      </c>
      <c r="B23" s="77" t="e">
        <f>'Reg | Product'!$AK$6</f>
        <v>#N/A</v>
      </c>
      <c r="C23" s="48" t="e">
        <f>_xll.DBRW($A$1,$A$2,C$15,$B23,$A$23,$A$22,$B$8,$A$7,$B$15)</f>
        <v>#VALUE!</v>
      </c>
      <c r="D23" s="48" t="e">
        <f>_xll.DBRW($A$1,$A$2,D$15,$B23,$A$23,$A$22,$B$8,$A$7,$B$15)</f>
        <v>#VALUE!</v>
      </c>
      <c r="E23" s="48" t="e">
        <f>_xll.DBRW($A$1,$A$2,E$15,$B23,$A$23,$A$22,$B$8,$A$7,$B$15)</f>
        <v>#VALUE!</v>
      </c>
      <c r="F23" s="52" t="e">
        <f>_xll.DBRW($A$1,$A$2,F$15,$B23,$A$23,$A$22,$B$8,$A$7,$B$15)</f>
        <v>#VALUE!</v>
      </c>
      <c r="G23" s="48"/>
      <c r="H23" s="48"/>
      <c r="I23" s="77" t="e">
        <f>'Reg | Product'!$AK$6</f>
        <v>#N/A</v>
      </c>
      <c r="J23" s="48" t="e">
        <f>_xll.DBRW($A$1,$A$2,J$21,$I23,$A$23,$A$22,$I$8,$A$7,$I$21)</f>
        <v>#VALUE!</v>
      </c>
      <c r="K23" s="48" t="e">
        <f>_xll.DBRW($A$1,$A$2,K$21,$I23,$A$23,$A$22,$I$8,$A$7,$I$21)</f>
        <v>#VALUE!</v>
      </c>
      <c r="L23" s="48" t="e">
        <f>_xll.DBRW($A$1,$A$2,L$21,$I23,$A$23,$A$22,$I$8,$A$7,$I$21)</f>
        <v>#VALUE!</v>
      </c>
      <c r="M23" s="52" t="e">
        <f>_xll.DBRW($A$1,$A$2,M$21,$I23,$A$23,$A$22,$I$8,$A$7,$I$21)</f>
        <v>#VALUE!</v>
      </c>
      <c r="O23" s="55" t="e">
        <f>_xll.DBRW($A$1,$A$2,O$21,$I23,$A$23,$A$22,$I$8,$A$7,$I$21)</f>
        <v>#VALUE!</v>
      </c>
    </row>
    <row r="24" spans="1:15" ht="15" thickBot="1">
      <c r="B24" s="78" t="e">
        <f>'Reg | Product'!$AM$6</f>
        <v>#N/A</v>
      </c>
      <c r="C24" s="53" t="e">
        <f>_xll.DBRW($A$1,$A$2,C$15,$B24,$A$23,$A$22,$B$8,$A$7,$B$15)</f>
        <v>#VALUE!</v>
      </c>
      <c r="D24" s="53" t="e">
        <f>_xll.DBRW($A$1,$A$2,D$15,$B24,$A$23,$A$22,$B$8,$A$7,$B$15)</f>
        <v>#VALUE!</v>
      </c>
      <c r="E24" s="53" t="e">
        <f>_xll.DBRW($A$1,$A$2,E$15,$B24,$A$23,$A$22,$B$8,$A$7,$B$15)</f>
        <v>#VALUE!</v>
      </c>
      <c r="F24" s="54" t="e">
        <f>_xll.DBRW($A$1,$A$2,F$15,$B24,$A$23,$A$22,$B$8,$A$7,$B$15)</f>
        <v>#VALUE!</v>
      </c>
      <c r="G24" s="48"/>
      <c r="H24" s="48"/>
      <c r="I24" s="78" t="e">
        <f>'Reg | Product'!$AM$6</f>
        <v>#N/A</v>
      </c>
      <c r="J24" s="53" t="e">
        <f>_xll.DBRW($A$1,$A$2,J$21,$I24,$A$23,$A$22,$I$8,$A$7,$I$21)</f>
        <v>#VALUE!</v>
      </c>
      <c r="K24" s="53" t="e">
        <f>_xll.DBRW($A$1,$A$2,K$21,$I24,$A$23,$A$22,$I$8,$A$7,$I$21)</f>
        <v>#VALUE!</v>
      </c>
      <c r="L24" s="53" t="e">
        <f>_xll.DBRW($A$1,$A$2,L$21,$I24,$A$23,$A$22,$I$8,$A$7,$I$21)</f>
        <v>#VALUE!</v>
      </c>
      <c r="M24" s="54" t="e">
        <f>_xll.DBRW($A$1,$A$2,M$21,$I24,$A$23,$A$22,$I$8,$A$7,$I$21)</f>
        <v>#VALUE!</v>
      </c>
      <c r="O24" s="56" t="e">
        <f>_xll.DBRW($A$1,$A$2,O$21,$I24,$A$23,$A$22,$I$8,$A$7,$I$21)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92B6-B3BC-4659-B4F8-CD84B1227641}">
  <sheetPr codeName="Planilha16"/>
  <dimension ref="A1:AP37"/>
  <sheetViews>
    <sheetView showGridLines="0" workbookViewId="0">
      <selection activeCell="AN5" sqref="AN5:AN8"/>
    </sheetView>
  </sheetViews>
  <sheetFormatPr defaultRowHeight="14.4"/>
  <cols>
    <col min="1" max="1" width="5.6640625" customWidth="1"/>
    <col min="2" max="27" width="4.33203125" customWidth="1"/>
    <col min="44" max="46" width="5.33203125" customWidth="1"/>
    <col min="47" max="53" width="7" customWidth="1"/>
  </cols>
  <sheetData>
    <row r="1" spans="1:42" ht="15" customHeight="1">
      <c r="B1" s="226" t="s">
        <v>110</v>
      </c>
      <c r="C1" s="226"/>
      <c r="D1" s="226"/>
      <c r="E1" s="226"/>
      <c r="F1" s="226"/>
      <c r="G1" s="226"/>
      <c r="H1" s="226"/>
      <c r="I1" s="226"/>
      <c r="J1" s="226"/>
    </row>
    <row r="2" spans="1:42" ht="15" customHeight="1">
      <c r="B2" s="226"/>
      <c r="C2" s="226"/>
      <c r="D2" s="226"/>
      <c r="E2" s="226"/>
      <c r="F2" s="226"/>
      <c r="G2" s="226"/>
      <c r="H2" s="226"/>
      <c r="I2" s="226"/>
      <c r="J2" s="226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</row>
    <row r="3" spans="1:42" ht="15" customHeight="1">
      <c r="I3" s="84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</row>
    <row r="4" spans="1:42" ht="6.6" customHeight="1">
      <c r="I4" s="82"/>
      <c r="K4" s="152"/>
      <c r="L4" s="152"/>
    </row>
    <row r="5" spans="1:42" ht="12" customHeight="1">
      <c r="B5" s="94"/>
      <c r="C5" s="94"/>
      <c r="D5" s="157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158"/>
      <c r="Z5" s="158"/>
      <c r="AA5" s="158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</row>
    <row r="6" spans="1:42" ht="21.6" customHeight="1">
      <c r="B6" s="85"/>
      <c r="C6" s="103"/>
      <c r="D6" s="274" t="e">
        <f>_xll.SUBNM("CONS_VC_PRD:ALL.D.Products","Products","Cement Group - Grupo Cimentos","Código e Descrição")</f>
        <v>#N/A</v>
      </c>
      <c r="E6" s="274"/>
      <c r="F6" s="274"/>
      <c r="G6" s="274"/>
      <c r="H6" s="274"/>
      <c r="I6" s="274"/>
      <c r="J6" s="274"/>
      <c r="K6" s="274"/>
      <c r="L6" s="165"/>
      <c r="M6" s="165"/>
      <c r="N6" s="165"/>
      <c r="O6" s="165"/>
      <c r="P6" s="248" t="e">
        <f>_xll.SUBNM("CONS_VC_PRD:ALL.D.Year","","2025")</f>
        <v>#N/A</v>
      </c>
      <c r="Q6" s="248"/>
      <c r="R6" s="248"/>
      <c r="S6" s="165"/>
      <c r="T6" s="165"/>
      <c r="U6" s="165"/>
      <c r="V6" s="85"/>
      <c r="W6" s="85"/>
      <c r="X6" s="85"/>
      <c r="Y6" s="85"/>
      <c r="Z6" s="85"/>
      <c r="AA6" s="85"/>
      <c r="AB6" s="85"/>
      <c r="AC6" s="103"/>
      <c r="AD6" s="85"/>
      <c r="AE6" s="85"/>
      <c r="AF6" s="85"/>
      <c r="AG6" s="85"/>
      <c r="AH6" s="154"/>
      <c r="AI6" s="113" t="e">
        <f>_xll.SUBNM("CONS_VC_PRD:ALL.D.Version","Sys.Report","Actual","Descrição")</f>
        <v>#N/A</v>
      </c>
      <c r="AJ6" s="155"/>
      <c r="AK6" s="123" t="e">
        <f>_xll.SUBNM("CONS_VC_PRD:ALL.D.Version","Sys.Report","L300","Descrição")</f>
        <v>#N/A</v>
      </c>
      <c r="AL6" s="154"/>
      <c r="AM6" s="113" t="e">
        <f>_xll.SUBNM("CONS_VC_PRD:ALL.D.Version","Sys.Report","RF","Descrição")</f>
        <v>#N/A</v>
      </c>
      <c r="AN6" s="155"/>
      <c r="AO6" s="12"/>
      <c r="AP6" s="153"/>
    </row>
    <row r="7" spans="1:42" ht="12" customHeight="1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156"/>
      <c r="AI7" s="156"/>
      <c r="AJ7" s="156"/>
      <c r="AK7" s="156"/>
      <c r="AL7" s="156"/>
      <c r="AM7" s="156"/>
      <c r="AN7" s="156"/>
      <c r="AO7" s="12"/>
      <c r="AP7" s="12"/>
    </row>
    <row r="8" spans="1:42" ht="15" customHeight="1" thickBot="1">
      <c r="G8" s="144" t="s">
        <v>85</v>
      </c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AB8" s="145" t="str">
        <f>"FOB Price " &amp; (X6 )</f>
        <v xml:space="preserve">FOB Price </v>
      </c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</row>
    <row r="9" spans="1:42" ht="14.4" customHeight="1">
      <c r="B9" s="264" t="e">
        <f>_xll.SUBNM("CONS_VC_PRD:ALL.D.Region","DEFAuLT","ARTI")</f>
        <v>#N/A</v>
      </c>
      <c r="C9" s="265"/>
      <c r="D9" s="265"/>
      <c r="E9" s="266"/>
    </row>
    <row r="10" spans="1:42" ht="14.4" customHeight="1">
      <c r="B10" s="267"/>
      <c r="C10" s="268"/>
      <c r="D10" s="268"/>
      <c r="E10" s="269"/>
    </row>
    <row r="11" spans="1:42">
      <c r="A11" s="273"/>
      <c r="B11" s="267"/>
      <c r="C11" s="268"/>
      <c r="D11" s="268"/>
      <c r="E11" s="269"/>
    </row>
    <row r="12" spans="1:42" ht="27.6" customHeight="1">
      <c r="A12" s="273"/>
      <c r="B12" s="267" t="e">
        <f>_xll.SUBNM("CONS_VC_PRD:ALL.D.Currency","Default","ARS","Código e Descrição")</f>
        <v>#N/A</v>
      </c>
      <c r="C12" s="268"/>
      <c r="D12" s="268"/>
      <c r="E12" s="269"/>
    </row>
    <row r="13" spans="1:42">
      <c r="B13" s="267"/>
      <c r="C13" s="268"/>
      <c r="D13" s="268"/>
      <c r="E13" s="269"/>
    </row>
    <row r="14" spans="1:42">
      <c r="B14" s="270"/>
      <c r="C14" s="271"/>
      <c r="D14" s="271"/>
      <c r="E14" s="272"/>
    </row>
    <row r="19" spans="1:21" ht="14.4" customHeight="1">
      <c r="B19" s="264" t="e">
        <f>_xll.SUBNM("CONS_VC_PRD:ALL.D.Region","DEFAuLT","ITACA")</f>
        <v>#N/A</v>
      </c>
      <c r="C19" s="265"/>
      <c r="D19" s="265"/>
      <c r="E19" s="266"/>
    </row>
    <row r="20" spans="1:21">
      <c r="B20" s="267"/>
      <c r="C20" s="268"/>
      <c r="D20" s="268"/>
      <c r="E20" s="269"/>
    </row>
    <row r="21" spans="1:21">
      <c r="A21" s="273"/>
      <c r="B21" s="267"/>
      <c r="C21" s="268"/>
      <c r="D21" s="268"/>
      <c r="E21" s="269"/>
    </row>
    <row r="22" spans="1:21" ht="27.6" customHeight="1">
      <c r="A22" s="273"/>
      <c r="B22" s="267" t="e">
        <f>_xll.SUBNM("CONS_VC_PRD:ALL.D.Currency","Default","USD","Código e Descrição")</f>
        <v>#N/A</v>
      </c>
      <c r="C22" s="268"/>
      <c r="D22" s="268"/>
      <c r="E22" s="269"/>
    </row>
    <row r="23" spans="1:21">
      <c r="B23" s="267"/>
      <c r="C23" s="268"/>
      <c r="D23" s="268"/>
      <c r="E23" s="269"/>
    </row>
    <row r="24" spans="1:21">
      <c r="B24" s="270"/>
      <c r="C24" s="271"/>
      <c r="D24" s="271"/>
      <c r="E24" s="272"/>
    </row>
    <row r="26" spans="1:21">
      <c r="A26" s="27"/>
      <c r="E26" s="15"/>
      <c r="F26" s="16"/>
      <c r="G26" s="17"/>
      <c r="H26" s="14"/>
      <c r="I26" s="14"/>
      <c r="J26" s="15"/>
      <c r="K26" s="16"/>
      <c r="L26" s="17"/>
      <c r="M26" s="14"/>
      <c r="N26" s="15"/>
      <c r="O26" s="16"/>
      <c r="P26" s="17"/>
      <c r="Q26" s="14"/>
      <c r="R26" s="14"/>
      <c r="S26" s="15"/>
      <c r="T26" s="16"/>
      <c r="U26" s="17"/>
    </row>
    <row r="28" spans="1:21" ht="14.4" customHeight="1">
      <c r="B28" s="264" t="e">
        <f>_xll.SUBNM("CONS_VC_PRD:ALL.D.Region","DEFAuLT","AVEL")</f>
        <v>#N/A</v>
      </c>
      <c r="C28" s="265"/>
      <c r="D28" s="265"/>
      <c r="E28" s="266"/>
    </row>
    <row r="29" spans="1:21">
      <c r="B29" s="267"/>
      <c r="C29" s="268"/>
      <c r="D29" s="268"/>
      <c r="E29" s="269"/>
    </row>
    <row r="30" spans="1:21">
      <c r="A30" s="273"/>
      <c r="B30" s="267"/>
      <c r="C30" s="268"/>
      <c r="D30" s="268"/>
      <c r="E30" s="269"/>
    </row>
    <row r="31" spans="1:21" ht="27.6" customHeight="1">
      <c r="A31" s="273"/>
      <c r="B31" s="267" t="e">
        <f>_xll.SUBNM("CONS_VC_PRD:ALL.D.Currency","Default","USD","Código e Descrição")</f>
        <v>#N/A</v>
      </c>
      <c r="C31" s="268"/>
      <c r="D31" s="268"/>
      <c r="E31" s="269"/>
      <c r="F31" s="51"/>
      <c r="G31" s="51"/>
      <c r="H31" s="51"/>
      <c r="I31" s="51"/>
    </row>
    <row r="32" spans="1:21">
      <c r="B32" s="267"/>
      <c r="C32" s="268"/>
      <c r="D32" s="268"/>
      <c r="E32" s="269"/>
      <c r="F32" s="51"/>
      <c r="G32" s="51"/>
      <c r="H32" s="51"/>
      <c r="I32" s="51"/>
    </row>
    <row r="33" spans="2:30">
      <c r="B33" s="270"/>
      <c r="C33" s="271"/>
      <c r="D33" s="271"/>
      <c r="E33" s="272"/>
      <c r="F33" s="51"/>
      <c r="G33" s="51"/>
      <c r="H33" s="51"/>
      <c r="I33" s="51"/>
    </row>
    <row r="34" spans="2:30">
      <c r="D34" s="51"/>
      <c r="E34" s="51"/>
      <c r="F34" s="51"/>
      <c r="G34" s="51"/>
      <c r="H34" s="51"/>
      <c r="I34" s="51"/>
    </row>
    <row r="36" spans="2:30">
      <c r="AD36" s="50"/>
    </row>
    <row r="37" spans="2:30">
      <c r="W37" s="150"/>
      <c r="AA37" s="150"/>
      <c r="AD37" s="150"/>
    </row>
  </sheetData>
  <mergeCells count="12">
    <mergeCell ref="P6:R6"/>
    <mergeCell ref="D6:K6"/>
    <mergeCell ref="B9:E11"/>
    <mergeCell ref="B19:E21"/>
    <mergeCell ref="B12:E14"/>
    <mergeCell ref="A30:A31"/>
    <mergeCell ref="B28:E30"/>
    <mergeCell ref="B31:E33"/>
    <mergeCell ref="B1:J2"/>
    <mergeCell ref="A11:A12"/>
    <mergeCell ref="A21:A22"/>
    <mergeCell ref="B22:E24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CDF7-3537-45D6-B24F-F253EC2E13FA}">
  <sheetPr codeName="Planilha17"/>
  <dimension ref="A1:P23"/>
  <sheetViews>
    <sheetView workbookViewId="0">
      <selection activeCell="H28" sqref="H28"/>
    </sheetView>
  </sheetViews>
  <sheetFormatPr defaultRowHeight="14.4"/>
  <cols>
    <col min="1" max="1" width="25.77734375" customWidth="1"/>
    <col min="2" max="2" width="10.33203125" bestFit="1" customWidth="1"/>
    <col min="3" max="3" width="11.109375" bestFit="1" customWidth="1"/>
    <col min="4" max="5" width="10.6640625" bestFit="1" customWidth="1"/>
    <col min="10" max="10" width="8.33203125" customWidth="1"/>
    <col min="11" max="16" width="11.44140625" customWidth="1"/>
    <col min="17" max="17" width="12.44140625" bestFit="1" customWidth="1"/>
    <col min="18" max="18" width="6.33203125" bestFit="1" customWidth="1"/>
  </cols>
  <sheetData>
    <row r="1" spans="1:16" ht="15" customHeight="1"/>
    <row r="2" spans="1:16" ht="15" customHeight="1" thickBot="1">
      <c r="A2" t="s">
        <v>80</v>
      </c>
    </row>
    <row r="3" spans="1:16" ht="15" customHeight="1">
      <c r="A3" s="44" t="s">
        <v>54</v>
      </c>
    </row>
    <row r="4" spans="1:16">
      <c r="A4" s="45" t="e">
        <f>'EBITDA - Accounts'!M6</f>
        <v>#N/A</v>
      </c>
    </row>
    <row r="5" spans="1:16">
      <c r="A5" s="45" t="str">
        <f>_xll.SUBNM("CONS_VC:DFS.M.100.Profit_and_Loss",,"Total Value")</f>
        <v>Total Value</v>
      </c>
    </row>
    <row r="6" spans="1:16">
      <c r="A6" s="45" t="str">
        <f>_xll.SUBNM("CONS_VC:ALL.D.Version","Sys.Report","Actual","Descrição")</f>
        <v>Actual</v>
      </c>
    </row>
    <row r="7" spans="1:16">
      <c r="A7" s="46" t="e">
        <f>'EBITDA - Accounts'!X6</f>
        <v>#N/A</v>
      </c>
    </row>
    <row r="8" spans="1:16">
      <c r="A8" t="e">
        <f>'EBITDA - Accounts'!R6</f>
        <v>#N/A</v>
      </c>
    </row>
    <row r="9" spans="1:16">
      <c r="A9" s="45" t="str">
        <f>_xll.SUBNM("CONS_VC:ALL.D.Products",,"Total Products")</f>
        <v>Total Products</v>
      </c>
      <c r="J9" t="s">
        <v>74</v>
      </c>
      <c r="L9" t="s">
        <v>79</v>
      </c>
      <c r="M9" t="s">
        <v>103</v>
      </c>
    </row>
    <row r="10" spans="1:16"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</row>
    <row r="11" spans="1:16" ht="15" thickBot="1">
      <c r="B11" t="e">
        <f>'EBITDA - Accounts'!C6</f>
        <v>#N/A</v>
      </c>
      <c r="G11" t="s">
        <v>54</v>
      </c>
      <c r="I11" t="e">
        <f>'EBITDA - Accounts'!C6</f>
        <v>#N/A</v>
      </c>
      <c r="J11">
        <v>2024</v>
      </c>
      <c r="K11">
        <v>2025</v>
      </c>
      <c r="L11">
        <v>2025</v>
      </c>
      <c r="M11">
        <v>2025</v>
      </c>
      <c r="N11">
        <v>2025</v>
      </c>
      <c r="O11">
        <v>2025</v>
      </c>
      <c r="P11">
        <v>2025</v>
      </c>
    </row>
    <row r="12" spans="1:16" ht="15" thickBot="1">
      <c r="A12" s="234" t="s">
        <v>66</v>
      </c>
      <c r="B12" s="235"/>
      <c r="C12" s="30" t="s">
        <v>55</v>
      </c>
      <c r="D12" s="30" t="s">
        <v>56</v>
      </c>
      <c r="E12" s="30" t="s">
        <v>57</v>
      </c>
      <c r="F12" s="31" t="s">
        <v>58</v>
      </c>
      <c r="G12" s="9" t="s">
        <v>102</v>
      </c>
      <c r="H12" s="9"/>
      <c r="I12" s="35" t="s">
        <v>9</v>
      </c>
      <c r="J12" s="36" t="e">
        <f>'EBITDA - Accounts'!$AI$6</f>
        <v>#N/A</v>
      </c>
      <c r="K12" s="37" t="s">
        <v>30</v>
      </c>
      <c r="L12" s="37" t="e">
        <f>'EBITDA - Accounts'!$AM$6</f>
        <v>#N/A</v>
      </c>
      <c r="M12" s="37" t="e">
        <f>'EBITDA - Accounts'!$AM$6</f>
        <v>#N/A</v>
      </c>
      <c r="N12" s="37" t="e">
        <f>'EBITDA - Accounts'!$AM$6</f>
        <v>#N/A</v>
      </c>
      <c r="O12" s="36"/>
      <c r="P12" s="37" t="e">
        <f>'EBITDA - Accounts'!$AM$6</f>
        <v>#N/A</v>
      </c>
    </row>
    <row r="13" spans="1:16" ht="15" thickBot="1">
      <c r="A13" t="e">
        <f>'EBITDA - Accounts'!$AI$6</f>
        <v>#N/A</v>
      </c>
      <c r="B13" s="34" t="e">
        <f>$A$4-1</f>
        <v>#N/A</v>
      </c>
      <c r="C13" s="48" t="e">
        <f>_xll.DBRW($A$2,$B13,C$12,$A13,$A$7,$A$8,$A$9,$B$11,$A$5)</f>
        <v>#VALUE!</v>
      </c>
      <c r="D13" s="48" t="e">
        <f>_xll.DBRW($A$2,$B13,D$12,$A13,$A$7,$A$8,$A$9,$B$11,$A$5)</f>
        <v>#VALUE!</v>
      </c>
      <c r="E13" s="48" t="e">
        <f>_xll.DBRW($A$2,$B13,E$12,$A13,$A$7,$A$8,$A$9,$B$11,$A$5)</f>
        <v>#VALUE!</v>
      </c>
      <c r="F13" s="48" t="e">
        <f>_xll.DBRW($A$2,$B13,F$12,$A13,$A$7,$A$8,$A$9,$B$11,$A$5)</f>
        <v>#VALUE!</v>
      </c>
      <c r="G13" s="48" t="e">
        <f>_xll.DBRW($A$2,$B13,G$11,$A13,$A$7,$A$8,$A$9,$B$11,$A$5)</f>
        <v>#VALUE!</v>
      </c>
      <c r="I13" s="18" t="s">
        <v>65</v>
      </c>
      <c r="J13" s="22" t="e">
        <f>$A$8</f>
        <v>#N/A</v>
      </c>
      <c r="K13" s="22" t="e">
        <f t="shared" ref="K13:P13" si="0">$A$8</f>
        <v>#N/A</v>
      </c>
      <c r="L13" s="22" t="e">
        <f t="shared" si="0"/>
        <v>#N/A</v>
      </c>
      <c r="M13" s="22" t="e">
        <f t="shared" si="0"/>
        <v>#N/A</v>
      </c>
      <c r="N13" s="22" t="e">
        <f t="shared" si="0"/>
        <v>#N/A</v>
      </c>
      <c r="O13" s="22" t="e">
        <f t="shared" si="0"/>
        <v>#N/A</v>
      </c>
      <c r="P13" s="22" t="e">
        <f t="shared" si="0"/>
        <v>#N/A</v>
      </c>
    </row>
    <row r="14" spans="1:16" ht="15" thickBot="1">
      <c r="A14" s="32" t="e">
        <f>'EBITDA - Accounts'!$AK$6</f>
        <v>#N/A</v>
      </c>
      <c r="B14" s="34" t="e">
        <f>$A$4</f>
        <v>#N/A</v>
      </c>
      <c r="C14" s="48" t="e">
        <f>_xll.DBRW($A$2,$B14,C$12,$A14,$A$7,$A$8,$A$9,$B$11,$A$5)</f>
        <v>#VALUE!</v>
      </c>
      <c r="D14" s="48" t="e">
        <f>_xll.DBRW($A$2,$B14,D$12,$A14,$A$7,$A$8,$A$9,$B$11,$A$5)</f>
        <v>#VALUE!</v>
      </c>
      <c r="E14" s="48" t="e">
        <f>_xll.DBRW($A$2,$B14,E$12,$A14,$A$7,$A$8,$A$9,$B$11,$A$5)</f>
        <v>#VALUE!</v>
      </c>
      <c r="F14" s="48" t="e">
        <f>_xll.DBRW($A$2,$B14,F$12,$A14,$A$7,$A$8,$A$9,$B$11,$A$5)</f>
        <v>#VALUE!</v>
      </c>
      <c r="G14" s="48" t="e">
        <f>_xll.DBRW($A$2,$B14,G$11,$A14,$A$7,$A$8,$A$9,$B$11,$A$5)</f>
        <v>#VALUE!</v>
      </c>
      <c r="I14" s="18"/>
      <c r="J14" s="23" t="e">
        <f>A4-1</f>
        <v>#N/A</v>
      </c>
      <c r="K14" s="23" t="s">
        <v>30</v>
      </c>
      <c r="L14" s="24" t="s">
        <v>99</v>
      </c>
      <c r="M14" s="21" t="s">
        <v>100</v>
      </c>
      <c r="N14" s="23" t="s">
        <v>101</v>
      </c>
      <c r="O14" s="24">
        <v>2026</v>
      </c>
      <c r="P14" s="39" t="s">
        <v>68</v>
      </c>
    </row>
    <row r="15" spans="1:16" ht="15" thickBot="1">
      <c r="A15" s="33" t="e">
        <f>'EBITDA - Accounts'!$AM$6</f>
        <v>#N/A</v>
      </c>
      <c r="B15" s="34">
        <v>2025</v>
      </c>
      <c r="C15" s="48" t="e">
        <f>_xll.DBRW($A$2,$B15,C$12,$A15,$A$7,$A$8,$A$9,$B$11,$A$5)</f>
        <v>#VALUE!</v>
      </c>
      <c r="D15" s="48" t="e">
        <f>_xll.DBRW($A$2,$B15,D$12,$A15,$A$7,$A$8,$A$9,$B$11,$A$5)</f>
        <v>#VALUE!</v>
      </c>
      <c r="E15" s="48" t="e">
        <f>_xll.DBRW($A$2,$B15,E$12,$A15,$A$7,$A$8,$A$9,$B$11,$A$5)</f>
        <v>#VALUE!</v>
      </c>
      <c r="F15" s="48" t="e">
        <f>_xll.DBRW($A$2,$B15,F$12,$A15,$A$7,$A$8,$A$9,$B$11,$A$5)</f>
        <v>#VALUE!</v>
      </c>
      <c r="G15" s="48" t="e">
        <f>_xll.DBRW($A$2,$B15,G$11,$A15,$A$7,$A$8,$A$9,$B$11,$A$5)</f>
        <v>#VALUE!</v>
      </c>
      <c r="I15" s="19"/>
      <c r="J15" s="166" t="e">
        <f>_xll.DBRW($A$2,$J$14,$A$3,J$12,$A$7,J$13,$A$9,$I$11,$A$5)</f>
        <v>#VALUE!</v>
      </c>
      <c r="K15" s="166" t="e">
        <f>_xll.DBRW($A$2,$A$4,$A$3,K$12,$A$7,K$13,$A$9,$I$11,$A$5)</f>
        <v>#VALUE!</v>
      </c>
      <c r="L15" s="166" t="e">
        <f>_xll.DBRW($A$2,$A$4,$A$3,L$12,$A$7,L$13,$A$9,$L$9,$A$5)</f>
        <v>#VALUE!</v>
      </c>
      <c r="M15" s="166" t="e">
        <f>_xll.DBRW($A$2,$A$4,$A$3,M$12,$A$7,M$13,$A$9,$M$9,$A$5)</f>
        <v>#VALUE!</v>
      </c>
      <c r="N15" s="166" t="e">
        <f>_xll.DBRW($A$2,$A$4,$A$3,N$12,$A$7,N$13,$A$9,$I$11,$A$5)</f>
        <v>#VALUE!</v>
      </c>
      <c r="O15" s="166"/>
      <c r="P15" s="166" t="e">
        <f>_xll.DBRW($A$2,$A$4,$A$3,P$12,$A$7,P$13,$A$9,$I$11,$A$5)</f>
        <v>#VALUE!</v>
      </c>
    </row>
    <row r="16" spans="1:16" ht="15" thickBot="1">
      <c r="I16" s="41" t="e">
        <f>'EBITDA - Accounts'!AK6</f>
        <v>#N/A</v>
      </c>
      <c r="J16" s="167"/>
      <c r="K16" s="168"/>
      <c r="L16" s="168" t="e">
        <f>_xll.DBRW($A$2,$A$4,$A$3,I$16,$A$7,L$13,$A$9,$L$9,$A$5)</f>
        <v>#VALUE!</v>
      </c>
      <c r="M16" s="168" t="e">
        <f>_xll.DBRW($A$2,$A$4,$A$3,I$16,$A$7,M$13,$A$9,$M$9,$A$5)</f>
        <v>#VALUE!</v>
      </c>
      <c r="N16" s="168" t="e">
        <f>_xll.DBRW($A$2,$A$4,$A$3,$I$16,'EBITDA - Accounts'!$X$6,N$13,$A$9,$I$11,$A$5)</f>
        <v>#VALUE!</v>
      </c>
      <c r="O16" s="168"/>
      <c r="P16" s="169"/>
    </row>
    <row r="17" spans="1:16">
      <c r="L17" s="26"/>
      <c r="M17" s="26"/>
      <c r="N17" s="26"/>
    </row>
    <row r="19" spans="1:16" ht="15" thickBot="1">
      <c r="K19" s="26"/>
    </row>
    <row r="20" spans="1:16" ht="15" thickBot="1">
      <c r="A20" s="42" t="s">
        <v>59</v>
      </c>
      <c r="B20" s="43"/>
      <c r="C20" s="30" t="s">
        <v>55</v>
      </c>
      <c r="D20" s="30" t="s">
        <v>56</v>
      </c>
      <c r="E20" s="30" t="s">
        <v>57</v>
      </c>
      <c r="F20" s="31" t="s">
        <v>58</v>
      </c>
      <c r="G20" s="9"/>
      <c r="H20" s="9"/>
    </row>
    <row r="21" spans="1:16" ht="15" thickBot="1">
      <c r="A21" t="e">
        <f>'EBITDA - Accounts'!$AI$6</f>
        <v>#N/A</v>
      </c>
      <c r="B21" s="34" t="e">
        <f>$A$4-1</f>
        <v>#N/A</v>
      </c>
      <c r="C21" s="183" t="e">
        <f>_xll.DBRW($A$2,$B$13,C$12,$A13,'EBITDA - Accounts'!$X$6,'EBITDA - Accounts'!$R$6,$A$9,$A20,$A$5)</f>
        <v>#VALUE!</v>
      </c>
      <c r="D21" s="183" t="e">
        <f>_xll.DBRW($A$2,$B$13,D$12,$A13,'EBITDA - Accounts'!$X$6,'EBITDA - Accounts'!$R$6,$A$9,$A20,$A$5)</f>
        <v>#VALUE!</v>
      </c>
      <c r="E21" s="183" t="e">
        <f>_xll.DBRW($A$2,$B$13,E$12,$A13,'EBITDA - Accounts'!$X$6,'EBITDA - Accounts'!$R$6,$A$9,$A20,$A$5)</f>
        <v>#VALUE!</v>
      </c>
      <c r="F21" s="217" t="e">
        <f>_xll.DBRW($A$2,$B$13,F$12,$A13,'EBITDA - Accounts'!$X$6,'EBITDA - Accounts'!$R$6,$A$9,$A20,$A$5)</f>
        <v>#VALUE!</v>
      </c>
      <c r="J21" s="183" t="e">
        <f>_xll.DBRW($A$2,J$11,J$10,$J12,$A$7,J$13,$A$9,$A20,$A$5)</f>
        <v>#VALUE!</v>
      </c>
      <c r="K21" s="183" t="e">
        <f>_xll.DBRW($A$2,K$11,K$10,$J12,$A$7,K$13,$A$9,$A20,$A$5)</f>
        <v>#VALUE!</v>
      </c>
      <c r="P21" s="183" t="e">
        <f>_xll.DBRW($A$2,P$11,P$10,$J12,$A$7,P$13,$A$9,$A20,$A$5)</f>
        <v>#VALUE!</v>
      </c>
    </row>
    <row r="22" spans="1:16" ht="15" thickBot="1">
      <c r="A22" s="32" t="e">
        <f>'EBITDA - Accounts'!$AK$6</f>
        <v>#N/A</v>
      </c>
      <c r="B22" s="34" t="e">
        <f>$A$4</f>
        <v>#N/A</v>
      </c>
      <c r="C22" s="183" t="e">
        <f>_xll.DBRW($A$2,$A$4,C$12,$A14,'EBITDA - Accounts'!$X$6,'EBITDA - Accounts'!$R$6,$A$9,$A20,$A$5)</f>
        <v>#VALUE!</v>
      </c>
      <c r="D22" s="183" t="e">
        <f>_xll.DBRW($A$2,$A$4,D$12,$A14,'EBITDA - Accounts'!$X$6,'EBITDA - Accounts'!$R$6,$A$9,$A20,$A$5)</f>
        <v>#VALUE!</v>
      </c>
      <c r="E22" s="183" t="e">
        <f>_xll.DBRW($A$2,$A$4,E$12,$A14,'EBITDA - Accounts'!$X$6,'EBITDA - Accounts'!$R$6,$A$9,$A20,$A$5)</f>
        <v>#VALUE!</v>
      </c>
      <c r="F22" s="217" t="e">
        <f>_xll.DBRW($A$2,$A$4,F$12,$A14,'EBITDA - Accounts'!$X$6,'EBITDA - Accounts'!$R$6,$A$9,$A20,$A$5)</f>
        <v>#VALUE!</v>
      </c>
    </row>
    <row r="23" spans="1:16" ht="15" thickBot="1">
      <c r="A23" s="33" t="e">
        <f>'EBITDA - Accounts'!$AM$6</f>
        <v>#N/A</v>
      </c>
      <c r="B23" s="34">
        <v>2025</v>
      </c>
      <c r="C23" s="218" t="e">
        <f>_xll.DBRW($A$2,$A$4,C$12,$A15,'EBITDA - Accounts'!$X$6,'EBITDA - Accounts'!$R$6,$A$9,$A20,$A$5)</f>
        <v>#VALUE!</v>
      </c>
      <c r="D23" s="218" t="e">
        <f>_xll.DBRW($A$2,$A$4,D$12,$A15,'EBITDA - Accounts'!$X$6,'EBITDA - Accounts'!$R$6,$A$9,$A20,$A$5)</f>
        <v>#VALUE!</v>
      </c>
      <c r="E23" s="218" t="e">
        <f>_xll.DBRW($A$2,$A$4,E$12,$A15,'EBITDA - Accounts'!$X$6,'EBITDA - Accounts'!$R$6,$A$9,$A20,$A$5)</f>
        <v>#VALUE!</v>
      </c>
      <c r="F23" s="219" t="e">
        <f>_xll.DBRW($A$2,$A$4,F$12,$A15,'EBITDA - Accounts'!$X$6,'EBITDA - Accounts'!$R$6,$A$9,$A20,$A$5)</f>
        <v>#VALUE!</v>
      </c>
    </row>
  </sheetData>
  <mergeCells count="1">
    <mergeCell ref="A12:B12"/>
  </mergeCells>
  <pageMargins left="0.511811024" right="0.511811024" top="0.78740157499999996" bottom="0.78740157499999996" header="0.31496062000000002" footer="0.31496062000000002"/>
  <customProperties>
    <customPr name="COR_LastLabelRowStart" r:id="rId1"/>
    <customPr name="COR_MapSheets" r:id="rId2"/>
    <customPr name="Serialized_Sheet_Mapping" r:id="rId3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0422-58F1-49AB-BA36-7CAD40592079}">
  <sheetPr codeName="Planilha18"/>
  <dimension ref="A1:AN34"/>
  <sheetViews>
    <sheetView showGridLines="0" workbookViewId="0">
      <selection activeCell="AP14" sqref="AP14"/>
    </sheetView>
  </sheetViews>
  <sheetFormatPr defaultRowHeight="14.4"/>
  <cols>
    <col min="1" max="1" width="5.6640625" customWidth="1"/>
    <col min="2" max="27" width="4.33203125" customWidth="1"/>
  </cols>
  <sheetData>
    <row r="1" spans="2:40" ht="15" customHeight="1">
      <c r="B1" s="226" t="s">
        <v>105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</row>
    <row r="2" spans="2:40" ht="15" customHeight="1"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</row>
    <row r="3" spans="2:40" ht="15" customHeight="1"/>
    <row r="4" spans="2:40" ht="6.6" customHeight="1">
      <c r="B4" s="82"/>
      <c r="D4" s="159"/>
      <c r="E4" s="159"/>
      <c r="F4" s="159"/>
      <c r="G4" s="159"/>
      <c r="H4" s="159"/>
      <c r="I4" s="159"/>
    </row>
    <row r="5" spans="2:40" ht="12.6" customHeight="1">
      <c r="B5" s="162"/>
      <c r="C5" s="94"/>
      <c r="D5" s="94"/>
      <c r="E5" s="94"/>
      <c r="F5" s="162"/>
      <c r="G5" s="162"/>
      <c r="H5" s="162"/>
      <c r="I5" s="162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</row>
    <row r="6" spans="2:40" ht="20.399999999999999" customHeight="1">
      <c r="B6" s="160"/>
      <c r="C6" s="225" t="e">
        <f>_xll.SUBNM("CONS_VC_PRD:DFS.D.Accounts_PnL","Default","EBITDA")</f>
        <v>#N/A</v>
      </c>
      <c r="D6" s="225"/>
      <c r="E6" s="225"/>
      <c r="F6" s="225"/>
      <c r="G6" s="225"/>
      <c r="H6" s="160"/>
      <c r="I6" s="160"/>
      <c r="J6" s="160"/>
      <c r="K6" s="160"/>
      <c r="L6" s="85"/>
      <c r="M6" s="248" t="e">
        <f>_xll.SUBNM("CONS_VC_PRD:ALL.D.Year","","2025")</f>
        <v>#N/A</v>
      </c>
      <c r="N6" s="248"/>
      <c r="O6" s="248"/>
      <c r="P6" s="85"/>
      <c r="Q6" s="85"/>
      <c r="R6" s="247" t="e">
        <f>_xll.SUBNM("CONS_VC_PRD:ALL.D.Region","Default","VCBR")</f>
        <v>#N/A</v>
      </c>
      <c r="S6" s="247"/>
      <c r="T6" s="247"/>
      <c r="U6" s="247"/>
      <c r="V6" s="85"/>
      <c r="W6" s="85"/>
      <c r="X6" s="247" t="e">
        <f>_xll.SUBNM("CONS_VC_PRD:ALL.D.Currency","Default","BRL Conv.")</f>
        <v>#N/A</v>
      </c>
      <c r="Y6" s="247"/>
      <c r="Z6" s="247"/>
      <c r="AA6" s="247"/>
      <c r="AB6" s="102"/>
      <c r="AC6" s="85"/>
      <c r="AD6" s="85"/>
      <c r="AE6" s="85"/>
      <c r="AF6" s="85"/>
      <c r="AG6" s="85"/>
      <c r="AH6" s="85"/>
      <c r="AI6" s="113" t="e">
        <f>_xll.SUBNM("CONS_VC_PRD:ALL.D.Version","Sys.Report","Actual","Descrição")</f>
        <v>#N/A</v>
      </c>
      <c r="AJ6" s="102"/>
      <c r="AK6" s="113" t="e">
        <f>_xll.SUBNM("CONS_VC_PRD:ALL.D.Version","Sys.Report","L300","Descrição")</f>
        <v>#N/A</v>
      </c>
      <c r="AL6" s="102"/>
      <c r="AM6" s="113" t="e">
        <f>_xll.SUBNM("CONS_VC_PRD:ALL.D.Version","Sys.Report","RF","Descrição")</f>
        <v>#N/A</v>
      </c>
      <c r="AN6" s="155"/>
    </row>
    <row r="7" spans="2:40" ht="12.6" customHeight="1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104"/>
      <c r="AD7" s="91"/>
      <c r="AE7" s="91"/>
      <c r="AF7" s="91"/>
      <c r="AG7" s="161"/>
      <c r="AH7" s="91"/>
      <c r="AI7" s="91"/>
      <c r="AJ7" s="91"/>
      <c r="AK7" s="91"/>
      <c r="AL7" s="91"/>
      <c r="AM7" s="107"/>
      <c r="AN7" s="156"/>
    </row>
    <row r="8" spans="2:40" ht="15" customHeight="1" thickBot="1">
      <c r="B8" s="127"/>
      <c r="C8" s="277" t="s">
        <v>72</v>
      </c>
      <c r="D8" s="277"/>
      <c r="E8" s="277"/>
      <c r="F8" s="277"/>
      <c r="G8" s="27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AB8" s="127"/>
      <c r="AC8" s="149" t="s">
        <v>27</v>
      </c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</row>
    <row r="26" spans="1:38">
      <c r="A26" s="221"/>
      <c r="E26" s="220" t="e">
        <f>'EBITDA Accounts - Fx'!C21</f>
        <v>#VALUE!</v>
      </c>
      <c r="F26" s="220" t="e">
        <f>'EBITDA Accounts - Fx'!C22</f>
        <v>#VALUE!</v>
      </c>
      <c r="G26" s="220" t="e">
        <f>'EBITDA Accounts - Fx'!C23</f>
        <v>#VALUE!</v>
      </c>
      <c r="H26" s="220"/>
      <c r="I26" s="220"/>
      <c r="J26" s="220" t="e">
        <f>'EBITDA Accounts - Fx'!D21</f>
        <v>#VALUE!</v>
      </c>
      <c r="K26" s="220" t="e">
        <f>'EBITDA Accounts - Fx'!D22</f>
        <v>#VALUE!</v>
      </c>
      <c r="L26" s="220" t="e">
        <f>'EBITDA Accounts - Fx'!D23</f>
        <v>#VALUE!</v>
      </c>
      <c r="M26" s="220"/>
      <c r="N26" s="220" t="e">
        <f>'EBITDA Accounts - Fx'!E21</f>
        <v>#VALUE!</v>
      </c>
      <c r="O26" s="220" t="e">
        <f>'EBITDA Accounts - Fx'!E22</f>
        <v>#VALUE!</v>
      </c>
      <c r="P26" s="220" t="e">
        <f>'EBITDA Accounts - Fx'!E23</f>
        <v>#VALUE!</v>
      </c>
      <c r="Q26" s="220"/>
      <c r="R26" s="220"/>
      <c r="S26" s="220" t="e">
        <f>'EBITDA Accounts - Fx'!F21</f>
        <v>#VALUE!</v>
      </c>
      <c r="T26" s="220" t="e">
        <f>'EBITDA Accounts - Fx'!F22</f>
        <v>#VALUE!</v>
      </c>
      <c r="U26" s="220" t="e">
        <f>'EBITDA Accounts - Fx'!F23</f>
        <v>#VALUE!</v>
      </c>
      <c r="Z26" s="222" t="e">
        <f>"Margin "&amp;$C$6</f>
        <v>#N/A</v>
      </c>
      <c r="AC26" s="223" t="e">
        <f>'EBITDA Accounts - Fx'!J21</f>
        <v>#VALUE!</v>
      </c>
      <c r="AD26" s="276" t="e">
        <f>'EBITDA Accounts - Fx'!K21</f>
        <v>#VALUE!</v>
      </c>
      <c r="AE26" s="276"/>
      <c r="AF26" s="224"/>
      <c r="AG26" s="224"/>
      <c r="AH26" s="224"/>
      <c r="AI26" s="224"/>
      <c r="AJ26" s="224"/>
      <c r="AK26" s="275" t="e">
        <f>'EBITDA Accounts - Fx'!P21</f>
        <v>#VALUE!</v>
      </c>
      <c r="AL26" s="275"/>
    </row>
    <row r="31" spans="1:38">
      <c r="D31" s="246"/>
      <c r="E31" s="246"/>
      <c r="F31" s="246"/>
      <c r="G31" s="246"/>
      <c r="H31" s="246"/>
      <c r="I31" s="246"/>
    </row>
    <row r="32" spans="1:38">
      <c r="D32" s="246"/>
      <c r="E32" s="246"/>
      <c r="F32" s="246"/>
      <c r="G32" s="246"/>
      <c r="H32" s="246"/>
      <c r="I32" s="246"/>
    </row>
    <row r="33" spans="4:9">
      <c r="D33" s="246"/>
      <c r="E33" s="246"/>
      <c r="F33" s="246"/>
      <c r="G33" s="246"/>
      <c r="H33" s="246"/>
      <c r="I33" s="246"/>
    </row>
    <row r="34" spans="4:9">
      <c r="D34" s="246"/>
      <c r="E34" s="246"/>
      <c r="F34" s="246"/>
      <c r="G34" s="246"/>
      <c r="H34" s="246"/>
      <c r="I34" s="246"/>
    </row>
  </sheetData>
  <mergeCells count="9">
    <mergeCell ref="AK26:AL26"/>
    <mergeCell ref="AD26:AE26"/>
    <mergeCell ref="B1:R2"/>
    <mergeCell ref="C6:G6"/>
    <mergeCell ref="D31:I34"/>
    <mergeCell ref="C8:G8"/>
    <mergeCell ref="X6:AA6"/>
    <mergeCell ref="R6:U6"/>
    <mergeCell ref="M6:O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Home</vt:lpstr>
      <vt:lpstr>Summary  - Fx</vt:lpstr>
      <vt:lpstr>Summary</vt:lpstr>
      <vt:lpstr>Cement Volumes &amp; Prices - Fx</vt:lpstr>
      <vt:lpstr>Cement Volumes &amp; Prices</vt:lpstr>
      <vt:lpstr>EBITDA - Fx</vt:lpstr>
      <vt:lpstr>EBITDA</vt:lpstr>
      <vt:lpstr>Net Income - Fx</vt:lpstr>
      <vt:lpstr>Net Income</vt:lpstr>
      <vt:lpstr>Cash Generation - Fx</vt:lpstr>
      <vt:lpstr>Cash Generation</vt:lpstr>
      <vt:lpstr>Vol | Price (product ) - Fx</vt:lpstr>
      <vt:lpstr>Vol | Price  (product)</vt:lpstr>
      <vt:lpstr>Reg | Product - Fx </vt:lpstr>
      <vt:lpstr>Reg | Product</vt:lpstr>
      <vt:lpstr>EBITDA Accounts - Fx</vt:lpstr>
      <vt:lpstr>EBITDA -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eathayde@ctiglobal.com</dc:creator>
  <cp:lastModifiedBy>Enrico Athayde</cp:lastModifiedBy>
  <dcterms:created xsi:type="dcterms:W3CDTF">2026-03-19T14:23:09Z</dcterms:created>
  <dcterms:modified xsi:type="dcterms:W3CDTF">2026-04-27T18:35:40Z</dcterms:modified>
</cp:coreProperties>
</file>