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ticonsultores-my.sharepoint.com/personal/eathayde_ctiglobal_com/Documents/"/>
    </mc:Choice>
  </mc:AlternateContent>
  <xr:revisionPtr revIDLastSave="0" documentId="8_{6976FA9B-B55E-46F4-865A-E6A78A5F80C3}" xr6:coauthVersionLast="47" xr6:coauthVersionMax="47" xr10:uidLastSave="{00000000-0000-0000-0000-000000000000}"/>
  <bookViews>
    <workbookView xWindow="-28908" yWindow="-1980" windowWidth="29016" windowHeight="15696" firstSheet="10" activeTab="15" xr2:uid="{9CFA523F-0F14-4394-A0BC-187E9CEFE94F}"/>
  </bookViews>
  <sheets>
    <sheet name="Cognos_Office_Connection_Cache" sheetId="2" state="veryHidden" r:id="rId1"/>
    <sheet name="Home" sheetId="6" r:id="rId2"/>
    <sheet name="Summary  - Fx" sheetId="17" r:id="rId3"/>
    <sheet name="Summary" sheetId="1" r:id="rId4"/>
    <sheet name="Cement Volumes &amp; Prices - Fx" sheetId="5" r:id="rId5"/>
    <sheet name="Cement Volumes &amp; Prices" sheetId="9" r:id="rId6"/>
    <sheet name="EBITDA - Fx" sheetId="7" r:id="rId7"/>
    <sheet name="EBITDA" sheetId="8" r:id="rId8"/>
    <sheet name="Cash Generation - Fx" sheetId="16" r:id="rId9"/>
    <sheet name="Cash Generation" sheetId="15" r:id="rId10"/>
    <sheet name="Menu" sheetId="19" r:id="rId11"/>
    <sheet name="Planilha3" sheetId="20" r:id="rId12"/>
    <sheet name="Planilha1" sheetId="21" r:id="rId13"/>
    <sheet name="Planilha2" sheetId="22" r:id="rId14"/>
    <sheet name="Value Tree TESTE" sheetId="18" r:id="rId15"/>
    <sheet name="Value Tree 1 - Fx" sheetId="25" r:id="rId16"/>
    <sheet name="Value Tree 1" sheetId="24" r:id="rId17"/>
  </sheets>
  <externalReferences>
    <externalReference r:id="rId18"/>
    <externalReference r:id="rId19"/>
    <externalReference r:id="rId20"/>
    <externalReference r:id="rId21"/>
  </externalReferences>
  <definedNames>
    <definedName name="_____ACC2" hidden="1">'[1]DIF FAT FEV 01'!$X$13:$Y$40</definedName>
    <definedName name="____ACC2" hidden="1">'[1]DIF FAT FEV 01'!$X$13:$Y$40</definedName>
    <definedName name="___ACC2" hidden="1">'[1]DIF FAT FEV 01'!$X$13:$Y$40</definedName>
    <definedName name="__123Graph_A" hidden="1">'[2]80-90'!$A$1:$A$1</definedName>
    <definedName name="__123Graph_B" hidden="1">#REF!</definedName>
    <definedName name="__123Graph_X" hidden="1">#REF!</definedName>
    <definedName name="__ACC2" hidden="1">#REF!</definedName>
    <definedName name="_ACC2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4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ist_Bin" localSheetId="14" hidden="1">[3]ACUMULADO!#REF!</definedName>
    <definedName name="_Dist_Bin" hidden="1">#REF!</definedName>
    <definedName name="_Dist_Values" localSheetId="14" hidden="1">#REF!</definedName>
    <definedName name="_Dist_Values" hidden="1">#REF!</definedName>
    <definedName name="_Fill" localSheetId="14" hidden="1">#REF!</definedName>
    <definedName name="_Fill" hidden="1">#REF!</definedName>
    <definedName name="_Key1" localSheetId="14" hidden="1">#REF!</definedName>
    <definedName name="_Key1" hidden="1">#REF!</definedName>
    <definedName name="_Order1" hidden="1">0</definedName>
    <definedName name="_Order2" hidden="1">255</definedName>
    <definedName name="_Regression_Int" hidden="1">1</definedName>
    <definedName name="_Sort" localSheetId="14" hidden="1">#REF!</definedName>
    <definedName name="_Sort" hidden="1">#REF!</definedName>
    <definedName name="aaaaaaaaaaaaaaaaaaaaaaaaaa" hidden="1">"(GMT-03:00)24/06/2015 16:31:05"</definedName>
    <definedName name="ab" hidden="1">#NAME?</definedName>
    <definedName name="anscount" hidden="1">3</definedName>
    <definedName name="as" localSheetId="14" hidden="1">[3]ACUMULADO!#REF!</definedName>
    <definedName name="as" hidden="1">#REF!</definedName>
    <definedName name="cafe_validation_temp" localSheetId="1" hidden="1">[4]Cognos_Office_Connection_Cache!$B$2:$B$5</definedName>
    <definedName name="cafe_validation_temp" hidden="1">Cognos_Office_Connection_Cache!$B$2:$B$33</definedName>
    <definedName name="cimento" localSheetId="14" hidden="1">{#N/A,#N/A,FALSE,"Sudeste";#N/A,#N/A,FALSE,"Sul";#N/A,#N/A,FALSE,"CCRG"}</definedName>
    <definedName name="cimento" hidden="1">{#N/A,#N/A,FALSE,"Sudeste";#N/A,#N/A,FALSE,"Sul";#N/A,#N/A,FALSE,"CCRG"}</definedName>
    <definedName name="CIQWBGuid" hidden="1">"2ab11585-d4fe-4c8d-8569-72429a0e99f3"</definedName>
    <definedName name="CO_MG" localSheetId="1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urrent_year">#REF!</definedName>
    <definedName name="CurrentForecast" localSheetId="14">#REF!</definedName>
    <definedName name="CurrentForecast">#REF!</definedName>
    <definedName name="CurrentMonth" localSheetId="14">#REF!</definedName>
    <definedName name="CurrentMonth">#REF!</definedName>
    <definedName name="Currentyear" localSheetId="14">#REF!</definedName>
    <definedName name="CurrentYear">#REF!</definedName>
    <definedName name="dias" localSheetId="1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e" localSheetId="14" hidden="1">#REF!</definedName>
    <definedName name="e" hidden="1">#REF!</definedName>
    <definedName name="EPMWorkbookOptions_1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"q3vjqr64u7ezs3v39/7i+evpPF9k28WyabPlNP/IvjW7+a2PqNc0ffwqP6/zZv7l8stVvjw6z8omf3w3/JDbnZR5Vj/N2uzL5evsMjctux9zWzOWl3XV5tM2n5nW/S/C9lez9K58dNb8ZFYX2aTMv8jrCweh9zmRzoJV2h39P45h/1l2AQAA"</definedName>
    <definedName name="EV__EVCOM_OPTIONS__" hidden="1">8</definedName>
    <definedName name="EV__EXPOPTIONS__" hidden="1">0</definedName>
    <definedName name="EV__LASTREFTIME__" localSheetId="14" hidden="1">"(GMT-03:00)12/04/2016 15:38:57"</definedName>
    <definedName name="EV__LASTREFTIME__" hidden="1">"(GMT-03:00)07/12/2015 21:01:16"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localSheetId="14" hidden="1">134217734</definedName>
    <definedName name="EV__WBREFOPTIONS__" hidden="1">134217732</definedName>
    <definedName name="EV__WBVERSION__" hidden="1">0</definedName>
    <definedName name="fontes" localSheetId="14" hidden="1">{#N/A,#N/A,FALSE,"Sudeste";#N/A,#N/A,FALSE,"Sul";#N/A,#N/A,FALSE,"CCRG"}</definedName>
    <definedName name="fontes" hidden="1">{#N/A,#N/A,FALSE,"Sudeste";#N/A,#N/A,FALSE,"Sul";#N/A,#N/A,FALSE,"CCRG"}</definedName>
    <definedName name="gghahjdaks" localSheetId="1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ara" localSheetId="14" hidden="1">{#N/A,#N/A,FALSE,"Sudeste";#N/A,#N/A,FALSE,"Sul";#N/A,#N/A,FALSE,"CCRG"}</definedName>
    <definedName name="Iara" hidden="1">{#N/A,#N/A,FALSE,"Sudeste";#N/A,#N/A,FALSE,"Sul";#N/A,#N/A,FALSE,"CCRG"}</definedName>
    <definedName name="ID" localSheetId="9" hidden="1">"44928cc8-d055-431e-a480-e07ec33a3457"</definedName>
    <definedName name="ID" localSheetId="8" hidden="1">"47e2fcf9-f1f3-43e8-b0f8-f9e3c08e5812"</definedName>
    <definedName name="ID" localSheetId="5" hidden="1">"8d8155b7-63be-4b2b-b1ee-a0c133e656d6"</definedName>
    <definedName name="ID" localSheetId="4" hidden="1">"ccfdcce6-b663-4d45-816c-c1e292530beb"</definedName>
    <definedName name="ID" localSheetId="0" hidden="1">"459d08d1-27cb-40be-bed0-a3806f4a4af4"</definedName>
    <definedName name="ID" localSheetId="7" hidden="1">"8c93f980-8390-411d-96d1-9d7441a85b85"</definedName>
    <definedName name="ID" localSheetId="6" hidden="1">"19915106-582d-43e5-943c-3c69aa5dd816"</definedName>
    <definedName name="ID" localSheetId="1" hidden="1">"b6aaa89e-df61-4e4e-85a7-4cb0b6bded0e"</definedName>
    <definedName name="ID" localSheetId="10" hidden="1">"a1dd6865-043f-433a-88b4-cafa08028142"</definedName>
    <definedName name="ID" localSheetId="12" hidden="1">"31c0e90e-a63b-45c4-bf18-29c4acbf925d"</definedName>
    <definedName name="ID" localSheetId="13" hidden="1">"15cca2ef-8df2-412b-a9c8-e0af0ee291b6"</definedName>
    <definedName name="ID" localSheetId="11" hidden="1">"b94cb88e-4db6-40e5-9061-210939f130b5"</definedName>
    <definedName name="ID" localSheetId="3" hidden="1">"abd882a5-5a8b-4406-abe7-95d8d0c44688"</definedName>
    <definedName name="ID" localSheetId="2" hidden="1">"2387aeed-925d-470d-baad-43bcf34715cb"</definedName>
    <definedName name="ID" localSheetId="16" hidden="1">"71c43373-cb58-481f-8b78-10de7522b1d5"</definedName>
    <definedName name="ID" localSheetId="15" hidden="1">"6ee26b38-e469-443b-8c76-d65e17638944"</definedName>
    <definedName name="ID" localSheetId="14" hidden="1">"1328c217-f80d-4611-b098-3c788a8cd723"</definedName>
    <definedName name="iitttttttt" localSheetId="1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41422.7949537037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imcount" hidden="1">3</definedName>
    <definedName name="mes">#REF!</definedName>
    <definedName name="Month" localSheetId="14">#REF!</definedName>
    <definedName name="MonthName">#REF!</definedName>
    <definedName name="opeluf" localSheetId="1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" localSheetId="1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l_Workbook_GUID" hidden="1">"JDXJ8FMPC49BCWZKIXJGW4BU"</definedName>
    <definedName name="pastas" localSheetId="1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riorYear" localSheetId="14">#REF!</definedName>
    <definedName name="PriorYear">#REF!</definedName>
    <definedName name="qoeiuat" localSheetId="1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rrr" hidden="1">#REF!</definedName>
    <definedName name="rrrrrrrrrrr" localSheetId="14" hidden="1">{#N/A,#N/A,FALSE,"Capa_I";#N/A,#N/A,FALSE,"Un_N_NE";#N/A,#N/A,FALSE,"Un_CO";#N/A,#N/A,FALSE,"Un_SP";#N/A,#N/A,FALSE,"Un_Sul";#N/A,#N/A,FALSE,"Ev_ex_mens";#N/A,#N/A,FALSE,"CCRG"}</definedName>
    <definedName name="rrrrrrrrrrr" hidden="1">{#N/A,#N/A,FALSE,"Capa_I";#N/A,#N/A,FALSE,"Un_N_NE";#N/A,#N/A,FALSE,"Un_CO";#N/A,#N/A,FALSE,"Un_SP";#N/A,#N/A,FALSE,"Un_Sul";#N/A,#N/A,FALSE,"Ev_ex_mens";#N/A,#N/A,FALSE,"CCRG"}</definedName>
    <definedName name="s" localSheetId="14" hidden="1">{#N/A,#N/A,FALSE,"Sudeste";#N/A,#N/A,FALSE,"Sul";#N/A,#N/A,FALSE,"CCRG"}</definedName>
    <definedName name="s" hidden="1">{#N/A,#N/A,FALSE,"Sudeste";#N/A,#N/A,FALSE,"Sul";#N/A,#N/A,FALSE,"CCRG"}</definedName>
    <definedName name="SAPBEXhrIndnt" hidden="1">1</definedName>
    <definedName name="SAPBEXrevision" hidden="1">14</definedName>
    <definedName name="SAPBEXsysID" hidden="1">"BW3"</definedName>
    <definedName name="SAPBEXwbID" hidden="1">"3SO04G3IWYENSZLK6QOKKYLB2"</definedName>
    <definedName name="sencount" hidden="1">3</definedName>
    <definedName name="TM1RPTDATARNG4065595" localSheetId="6">'EBITDA - Fx'!$23:$23</definedName>
    <definedName name="TM1RPTFMTIDCOL4065595" localSheetId="6">'EBITDA - Fx'!$A$1:$A$10</definedName>
    <definedName name="TM1RPTFMTRNG4065595" localSheetId="6">'EBITDA - Fx'!$B$1:$F$10</definedName>
    <definedName name="TM1RPTQRYRNG4065595" localSheetId="6">'EBITDA - Fx'!$B$11</definedName>
    <definedName name="TM1RPTVIEWRNG4065595" localSheetId="6">'EBITDA - Fx'!$B$12</definedName>
    <definedName name="tttttnnbbnn" localSheetId="14" hidden="1">{#N/A,#N/A,FALSE,"Sudeste";#N/A,#N/A,FALSE,"Sul";#N/A,#N/A,FALSE,"CCRG"}</definedName>
    <definedName name="tttttnnbbnn" hidden="1">{#N/A,#N/A,FALSE,"Sudeste";#N/A,#N/A,FALSE,"Sul";#N/A,#N/A,FALSE,"CCRG"}</definedName>
    <definedName name="ttttttrrrr" localSheetId="1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" localSheetId="1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" localSheetId="1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" localSheetId="14" hidden="1">{#N/A,#N/A,FALSE,"Sudeste";#N/A,#N/A,FALSE,"Sul";#N/A,#N/A,FALSE,"CCRG"}</definedName>
    <definedName name="WRN" hidden="1">{#N/A,#N/A,FALSE,"Sudeste";#N/A,#N/A,FALSE,"Sul";#N/A,#N/A,FALSE,"CCRG"}</definedName>
    <definedName name="wrn.CONSOLIDADO." localSheetId="14" hidden="1">{#N/A,#N/A,FALSE,"CONSOLIDADO"}</definedName>
    <definedName name="wrn.CONSOLIDADO." hidden="1">{#N/A,#N/A,FALSE,"CONSOLIDADO"}</definedName>
    <definedName name="wrn.Exp." localSheetId="14" hidden="1">{#N/A,#N/A,FALSE,"Sudeste";#N/A,#N/A,FALSE,"Sul";#N/A,#N/A,FALSE,"CCRG"}</definedName>
    <definedName name="wrn.Exp." hidden="1">{#N/A,#N/A,FALSE,"Sudeste";#N/A,#N/A,FALSE,"Sul";#N/A,#N/A,FALSE,"CCRG"}</definedName>
    <definedName name="wrn.exped." localSheetId="14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ição." localSheetId="14" hidden="1">{#N/A,#N/A,FALSE,"Capa_I";#N/A,#N/A,FALSE,"Un_N_NE";#N/A,#N/A,FALSE,"Un_CO";#N/A,#N/A,FALSE,"Un_SP";#N/A,#N/A,FALSE,"Un_Sul";#N/A,#N/A,FALSE,"Ev_ex_mens";#N/A,#N/A,FALSE,"CCRG"}</definedName>
    <definedName name="wrn.Expedição." hidden="1">{#N/A,#N/A,FALSE,"Capa_I";#N/A,#N/A,FALSE,"Un_N_NE";#N/A,#N/A,FALSE,"Un_CO";#N/A,#N/A,FALSE,"Un_SP";#N/A,#N/A,FALSE,"Un_Sul";#N/A,#N/A,FALSE,"Ev_ex_mens";#N/A,#N/A,FALSE,"CCRG"}</definedName>
    <definedName name="wrn.imp_flx." localSheetId="1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sdofinanceiro." localSheetId="14" hidden="1">{#N/A,#N/A,FALSE,"CONSOLIDADO";#N/A,#N/A,FALSE,"CIMENTO";#N/A,#N/A,FALSE,"METALURGIA";#N/A,#N/A,FALSE,"PAPEL";#N/A,#N/A,FALSE,"QUIMICA";#N/A,#N/A,FALSE,"AGROINDÚSTRIA";#N/A,#N/A,FALSE,"VINTERNACIONAL"}</definedName>
    <definedName name="wrn.sdofinanceiro." hidden="1">{#N/A,#N/A,FALSE,"CONSOLIDADO";#N/A,#N/A,FALSE,"CIMENTO";#N/A,#N/A,FALSE,"METALURGIA";#N/A,#N/A,FALSE,"PAPEL";#N/A,#N/A,FALSE,"QUIMICA";#N/A,#N/A,FALSE,"AGROINDÚSTRIA";#N/A,#N/A,FALSE,"VINTERNACIONAL"}</definedName>
    <definedName name="wrn.TUDO." localSheetId="14" hidden="1">{#N/A,#N/A,FALSE,"CONSMET";#N/A,#N/A,FALSE,"CBA";#N/A,#N/A,FALSE,"CMM";#N/A,#N/A,FALSE,"NIQUELTO";#N/A,#N/A,FALSE,"SBMANSA";#N/A,#N/A,FALSE,"ATLAS";#N/A,#N/A,FALSE,"STACRUZ";#N/A,#N/A,FALSE,"PIRAT"}</definedName>
    <definedName name="wrn.TUDO." hidden="1">{#N/A,#N/A,FALSE,"CONSMET";#N/A,#N/A,FALSE,"CBA";#N/A,#N/A,FALSE,"CMM";#N/A,#N/A,FALSE,"NIQUELTO";#N/A,#N/A,FALSE,"SBMANSA";#N/A,#N/A,FALSE,"ATLAS";#N/A,#N/A,FALSE,"STACRUZ";#N/A,#N/A,FALSE,"PIRAT"}</definedName>
    <definedName name="wwwww" localSheetId="14" hidden="1">{#N/A,#N/A,FALSE,"Sudeste";#N/A,#N/A,FALSE,"Sul";#N/A,#N/A,FALSE,"CCRG"}</definedName>
    <definedName name="wwwww" hidden="1">{#N/A,#N/A,FALSE,"Sudeste";#N/A,#N/A,FALSE,"Sul";#N/A,#N/A,FALSE,"CCRG"}</definedName>
    <definedName name="x" localSheetId="14" hidden="1">{#N/A,#N/A,FALSE,"Sudeste";#N/A,#N/A,FALSE,"Sul";#N/A,#N/A,FALSE,"CCRG"}</definedName>
    <definedName name="x" hidden="1">{#N/A,#N/A,FALSE,"Sudeste";#N/A,#N/A,FALSE,"Sul";#N/A,#N/A,FALSE,"CCRG"}</definedName>
  </definedNames>
  <calcPr calcId="191029" calcOnSave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25" l="1"/>
  <c r="F5" i="24" l="1"/>
  <c r="F4" i="24"/>
  <c r="AM38" i="24"/>
  <c r="AJ38" i="24"/>
  <c r="AM37" i="24"/>
  <c r="AJ37" i="24"/>
  <c r="AF38" i="24"/>
  <c r="AC38" i="24"/>
  <c r="AF37" i="24"/>
  <c r="AC37" i="24"/>
  <c r="AM35" i="24"/>
  <c r="AJ35" i="24"/>
  <c r="AM34" i="24"/>
  <c r="AJ34" i="24"/>
  <c r="AF35" i="24"/>
  <c r="AC35" i="24"/>
  <c r="AF34" i="24"/>
  <c r="AC34" i="24"/>
  <c r="AM30" i="24"/>
  <c r="AJ30" i="24"/>
  <c r="AM29" i="24"/>
  <c r="AJ29" i="24"/>
  <c r="AF30" i="24"/>
  <c r="AC30" i="24"/>
  <c r="AF29" i="24"/>
  <c r="AC29" i="24"/>
  <c r="AM27" i="24"/>
  <c r="AJ27" i="24"/>
  <c r="AM26" i="24"/>
  <c r="AJ26" i="24"/>
  <c r="AF27" i="24"/>
  <c r="AF26" i="24"/>
  <c r="AC27" i="24"/>
  <c r="AC26" i="24"/>
  <c r="AF21" i="24"/>
  <c r="AM22" i="24"/>
  <c r="AM21" i="24"/>
  <c r="AJ22" i="24"/>
  <c r="AJ21" i="24"/>
  <c r="AF22" i="24"/>
  <c r="AC22" i="24"/>
  <c r="AC21" i="24"/>
  <c r="AM19" i="24"/>
  <c r="AM18" i="24"/>
  <c r="AF19" i="24"/>
  <c r="AF18" i="24"/>
  <c r="AF8" i="24"/>
  <c r="AM12" i="24"/>
  <c r="AJ12" i="24"/>
  <c r="AM11" i="24"/>
  <c r="AJ11" i="24"/>
  <c r="AF12" i="24"/>
  <c r="AC12" i="24"/>
  <c r="AF11" i="24"/>
  <c r="AC11" i="24"/>
  <c r="AF9" i="24"/>
  <c r="AM9" i="24"/>
  <c r="AM8" i="24"/>
  <c r="B6" i="18"/>
  <c r="B5" i="18"/>
  <c r="AP9" i="25"/>
  <c r="AP11" i="25"/>
  <c r="AP8" i="25"/>
  <c r="AP12" i="25"/>
  <c r="A10" i="25"/>
  <c r="A20" i="25"/>
  <c r="A13" i="25"/>
  <c r="A14" i="25"/>
  <c r="A26" i="25"/>
  <c r="AF24" i="25" l="1"/>
  <c r="AZ6" i="25"/>
  <c r="AZ24" i="25"/>
  <c r="BI32" i="25"/>
  <c r="AZ16" i="25"/>
  <c r="AC24" i="25"/>
  <c r="AC16" i="25"/>
  <c r="AZ32" i="25"/>
  <c r="AC6" i="25"/>
  <c r="AF32" i="25"/>
  <c r="AF16" i="25"/>
  <c r="BI24" i="25"/>
  <c r="AF6" i="25"/>
  <c r="AC32" i="25"/>
  <c r="R14" i="25"/>
  <c r="R31" i="25"/>
  <c r="G8" i="25"/>
  <c r="R23" i="25"/>
  <c r="R27" i="25"/>
  <c r="G12" i="25"/>
  <c r="R19" i="25"/>
  <c r="G27" i="25"/>
  <c r="R6" i="25"/>
  <c r="G23" i="25"/>
  <c r="R10" i="25"/>
  <c r="BM32" i="25"/>
  <c r="BD16" i="25"/>
  <c r="BD32" i="25"/>
  <c r="AM6" i="25"/>
  <c r="BD24" i="25"/>
  <c r="BM24" i="25"/>
  <c r="BD6" i="25"/>
  <c r="AJ6" i="25"/>
  <c r="V14" i="25"/>
  <c r="V31" i="25"/>
  <c r="K8" i="25"/>
  <c r="V10" i="25"/>
  <c r="K12" i="25"/>
  <c r="V19" i="25"/>
  <c r="K27" i="25"/>
  <c r="V6" i="25"/>
  <c r="V23" i="25"/>
  <c r="K23" i="25"/>
  <c r="V27" i="25"/>
  <c r="AA26" i="25"/>
  <c r="AA8" i="25"/>
  <c r="P21" i="25"/>
  <c r="E10" i="25"/>
  <c r="AA34" i="25"/>
  <c r="P12" i="25"/>
  <c r="E29" i="25"/>
  <c r="AA29" i="25"/>
  <c r="AA11" i="25"/>
  <c r="P25" i="25"/>
  <c r="P8" i="25"/>
  <c r="AA37" i="25"/>
  <c r="AA21" i="25"/>
  <c r="P33" i="25"/>
  <c r="P16" i="25"/>
  <c r="E14" i="25"/>
  <c r="AA18" i="25"/>
  <c r="P29" i="25"/>
  <c r="E25" i="25"/>
  <c r="AA27" i="25"/>
  <c r="AA9" i="25"/>
  <c r="P22" i="25"/>
  <c r="E11" i="25"/>
  <c r="P13" i="25"/>
  <c r="AA12" i="25"/>
  <c r="P9" i="25"/>
  <c r="E30" i="25"/>
  <c r="AA38" i="25"/>
  <c r="AA22" i="25"/>
  <c r="P34" i="25"/>
  <c r="P17" i="25"/>
  <c r="E15" i="25"/>
  <c r="AA35" i="25"/>
  <c r="AA19" i="25"/>
  <c r="P30" i="25"/>
  <c r="E26" i="25"/>
  <c r="AA30" i="25"/>
  <c r="P26" i="25"/>
  <c r="V56" i="18"/>
  <c r="W55" i="18"/>
  <c r="V48" i="18"/>
  <c r="E21" i="18"/>
  <c r="AJ18" i="25"/>
  <c r="AJ19" i="25"/>
  <c r="BI35" i="25"/>
  <c r="BI34" i="25"/>
  <c r="AC19" i="25"/>
  <c r="AC18" i="25"/>
  <c r="AZ35" i="25"/>
  <c r="AZ34" i="25"/>
  <c r="BD35" i="25"/>
  <c r="BD34" i="25"/>
  <c r="AC9" i="25"/>
  <c r="AC8" i="25"/>
  <c r="AJ9" i="25"/>
  <c r="AJ8" i="25"/>
  <c r="BM35" i="25"/>
  <c r="BM34" i="25"/>
  <c r="BM27" i="25"/>
  <c r="V13" i="25"/>
  <c r="BM28" i="25"/>
  <c r="V12" i="25"/>
  <c r="B4" i="21"/>
  <c r="R33" i="25"/>
  <c r="AZ9" i="25"/>
  <c r="A18" i="18"/>
  <c r="B2" i="21"/>
  <c r="B5" i="21"/>
  <c r="BD14" i="25"/>
  <c r="BI27" i="25"/>
  <c r="R16" i="25"/>
  <c r="A20" i="18"/>
  <c r="V30" i="25"/>
  <c r="R25" i="25"/>
  <c r="BD10" i="25"/>
  <c r="K26" i="25"/>
  <c r="AZ10" i="25"/>
  <c r="BD26" i="25"/>
  <c r="AZ13" i="25"/>
  <c r="K15" i="25"/>
  <c r="A10" i="18"/>
  <c r="B14" i="20"/>
  <c r="V26" i="25"/>
  <c r="K10" i="25"/>
  <c r="V21" i="25"/>
  <c r="BD27" i="25"/>
  <c r="AZ28" i="25"/>
  <c r="G26" i="25"/>
  <c r="A14" i="18"/>
  <c r="G10" i="25"/>
  <c r="V25" i="25"/>
  <c r="R17" i="25"/>
  <c r="B7" i="20"/>
  <c r="BD19" i="25"/>
  <c r="G15" i="25"/>
  <c r="V17" i="25"/>
  <c r="G14" i="25"/>
  <c r="V8" i="25" a="1"/>
  <c r="BD20" i="25"/>
  <c r="G30" i="25"/>
  <c r="A25" i="19"/>
  <c r="AZ14" i="25"/>
  <c r="A13" i="18"/>
  <c r="BD21" i="25"/>
  <c r="R26" i="25"/>
  <c r="AZ11" i="25"/>
  <c r="A23" i="7"/>
  <c r="A13" i="19"/>
  <c r="B15" i="20"/>
  <c r="A19" i="19"/>
  <c r="A23" i="18"/>
  <c r="AZ19" i="25"/>
  <c r="B7" i="21"/>
  <c r="AZ21" i="25"/>
  <c r="R21" i="25"/>
  <c r="B5" i="8"/>
  <c r="BD13" i="25"/>
  <c r="A22" i="19"/>
  <c r="K30" i="25"/>
  <c r="R34" i="25"/>
  <c r="K29" i="25"/>
  <c r="BM26" i="25"/>
  <c r="B17" i="20"/>
  <c r="R8" i="25" a="1"/>
  <c r="G29" i="25"/>
  <c r="A17" i="18"/>
  <c r="B6" i="21"/>
  <c r="AZ26" i="25"/>
  <c r="R9" i="25" a="1"/>
  <c r="AQ37" i="18"/>
  <c r="T7" i="18" a="1"/>
  <c r="AC7" i="18"/>
  <c r="AO37" i="18"/>
  <c r="AO25" i="18"/>
  <c r="V7" i="18" a="1"/>
  <c r="AQ7" i="18"/>
  <c r="K11" i="25"/>
  <c r="BI26" i="25"/>
  <c r="C7" i="15"/>
  <c r="V29" i="25"/>
  <c r="AO13" i="18"/>
  <c r="R22" i="25"/>
  <c r="AZ18" i="25"/>
  <c r="B13" i="20"/>
  <c r="B16" i="20"/>
  <c r="V34" i="25"/>
  <c r="AA13" i="18" a="1"/>
  <c r="AA31" i="18"/>
  <c r="BD9" i="25"/>
  <c r="G25" i="25"/>
  <c r="BD8" i="25"/>
  <c r="K14" i="25"/>
  <c r="AZ12" i="25"/>
  <c r="V9" i="25" a="1"/>
  <c r="BD18" i="25"/>
  <c r="V33" i="25"/>
  <c r="BD12" i="25"/>
  <c r="BD28" i="25"/>
  <c r="AZ8" i="25"/>
  <c r="BI28" i="25"/>
  <c r="AZ20" i="25"/>
  <c r="BD11" i="25"/>
  <c r="O13" i="18"/>
  <c r="H19" i="18"/>
  <c r="T37" i="18"/>
  <c r="F19" i="18"/>
  <c r="AJ19" i="18"/>
  <c r="AH7" i="18"/>
  <c r="C6" i="8"/>
  <c r="AZ27" i="25"/>
  <c r="M25" i="18"/>
  <c r="AH37" i="18"/>
  <c r="M19" i="18"/>
  <c r="A9" i="19"/>
  <c r="A12" i="19"/>
  <c r="B3" i="21"/>
  <c r="AC13" i="18" a="1"/>
  <c r="R12" i="25"/>
  <c r="R30" i="25"/>
  <c r="R13" i="25"/>
  <c r="R29" i="25"/>
  <c r="V16" i="25"/>
  <c r="B3" i="20"/>
  <c r="AC6" i="8"/>
  <c r="G11" i="25"/>
  <c r="V37" i="18"/>
  <c r="K25" i="25"/>
  <c r="V22" i="25"/>
  <c r="A26" i="18"/>
  <c r="H13" i="18" s="1"/>
  <c r="V13" i="18"/>
  <c r="AJ31" i="18"/>
  <c r="AH13" i="18"/>
  <c r="AH19" i="18"/>
  <c r="M37" i="18"/>
  <c r="AO19" i="18"/>
  <c r="AO31" i="18"/>
  <c r="AJ7" i="18"/>
  <c r="AJ25" i="18"/>
  <c r="M7" i="18" a="1"/>
  <c r="O7" i="18" a="1"/>
  <c r="O31" i="18"/>
  <c r="AQ13" i="18"/>
  <c r="AO7" i="18"/>
  <c r="AA7" i="18"/>
  <c r="AH25" i="18"/>
  <c r="T31" i="18" a="1"/>
  <c r="M31" i="18"/>
  <c r="AJ13" i="18"/>
  <c r="O19" i="18"/>
  <c r="M13" i="18"/>
  <c r="AH31" i="18"/>
  <c r="H25" i="18"/>
  <c r="AQ19" i="18"/>
  <c r="F25" i="18"/>
  <c r="T13" i="18"/>
  <c r="F13" i="18"/>
  <c r="AJ37" i="18"/>
  <c r="AQ31" i="18"/>
  <c r="O25" i="18"/>
  <c r="V31" i="18" a="1"/>
  <c r="O37" i="18"/>
  <c r="AQ25" i="18"/>
  <c r="AC31" i="18"/>
  <c r="BI28" i="24" l="1"/>
  <c r="BI26" i="24"/>
  <c r="BM26" i="24"/>
  <c r="BI27" i="24"/>
  <c r="BM28" i="24"/>
  <c r="BM27" i="24"/>
  <c r="BM34" i="24"/>
  <c r="BM35" i="24"/>
  <c r="AJ8" i="24"/>
  <c r="AJ9" i="24"/>
  <c r="AC8" i="24"/>
  <c r="AC9" i="24"/>
  <c r="BD34" i="24"/>
  <c r="BD35" i="24"/>
  <c r="AZ34" i="24"/>
  <c r="AZ35" i="24"/>
  <c r="AC18" i="24"/>
  <c r="AC19" i="24"/>
  <c r="BI34" i="24"/>
  <c r="BI35" i="24"/>
  <c r="AJ19" i="24"/>
  <c r="AJ18" i="24"/>
  <c r="AZ27" i="24"/>
  <c r="BD28" i="24"/>
  <c r="AZ28" i="24"/>
  <c r="BD27" i="24"/>
  <c r="AZ20" i="24"/>
  <c r="AZ21" i="24"/>
  <c r="AZ19" i="24"/>
  <c r="BD21" i="24"/>
  <c r="BD20" i="24"/>
  <c r="BD19" i="24"/>
  <c r="AZ26" i="24"/>
  <c r="BD26" i="24"/>
  <c r="BD18" i="24"/>
  <c r="AZ18" i="24"/>
  <c r="BD11" i="24"/>
  <c r="AZ8" i="24"/>
  <c r="BD12" i="24"/>
  <c r="AZ12" i="24"/>
  <c r="BD8" i="24"/>
  <c r="BD9" i="24"/>
  <c r="BD13" i="24"/>
  <c r="AZ11" i="24"/>
  <c r="AZ14" i="24"/>
  <c r="AZ13" i="24"/>
  <c r="AZ10" i="24"/>
  <c r="BD10" i="24"/>
  <c r="BD14" i="24"/>
  <c r="AZ9" i="24"/>
  <c r="V22" i="24"/>
  <c r="G11" i="24"/>
  <c r="V16" i="24"/>
  <c r="R29" i="24"/>
  <c r="R13" i="24"/>
  <c r="R30" i="24"/>
  <c r="R12" i="24"/>
  <c r="V33" i="24"/>
  <c r="K14" i="24"/>
  <c r="V34" i="24"/>
  <c r="R22" i="24"/>
  <c r="V29" i="24"/>
  <c r="K11" i="24"/>
  <c r="R34" i="24"/>
  <c r="R21" i="24"/>
  <c r="R26" i="24"/>
  <c r="G14" i="24"/>
  <c r="V17" i="24"/>
  <c r="G15" i="24"/>
  <c r="R17" i="24"/>
  <c r="V25" i="24"/>
  <c r="G10" i="24"/>
  <c r="V21" i="24"/>
  <c r="K10" i="24"/>
  <c r="V26" i="24"/>
  <c r="K15" i="24"/>
  <c r="R25" i="24"/>
  <c r="V30" i="24"/>
  <c r="R16" i="24"/>
  <c r="R33" i="24"/>
  <c r="V12" i="24"/>
  <c r="V13" i="24"/>
  <c r="K29" i="24"/>
  <c r="K30" i="24"/>
  <c r="G25" i="24"/>
  <c r="G26" i="24"/>
  <c r="K26" i="24"/>
  <c r="K25" i="24"/>
  <c r="R8" i="25"/>
  <c r="R8" i="24" s="1"/>
  <c r="R9" i="25"/>
  <c r="R9" i="24" s="1"/>
  <c r="G29" i="24"/>
  <c r="G30" i="24"/>
  <c r="V9" i="25"/>
  <c r="V9" i="24" s="1"/>
  <c r="V8" i="25"/>
  <c r="V8" i="24" s="1"/>
  <c r="AA13" i="18"/>
  <c r="T7" i="18"/>
  <c r="O7" i="18"/>
  <c r="T31" i="18"/>
  <c r="AA25" i="18"/>
  <c r="T25" i="18" s="1"/>
  <c r="M7" i="18"/>
  <c r="AP7" i="18"/>
  <c r="V31" i="18"/>
  <c r="AP13" i="18"/>
  <c r="E13" i="18"/>
  <c r="AC25" i="18"/>
  <c r="V25" i="18" s="1"/>
  <c r="AC13" i="18"/>
  <c r="V7" i="18"/>
  <c r="AP37" i="18"/>
  <c r="E19" i="18"/>
  <c r="A1" i="20"/>
  <c r="K35" i="18"/>
  <c r="Y29" i="18"/>
  <c r="AM23" i="18"/>
  <c r="K17" i="18"/>
  <c r="R11" i="18"/>
  <c r="AF35" i="18"/>
  <c r="D23" i="18"/>
  <c r="AF23" i="18"/>
  <c r="D17" i="18"/>
  <c r="K11" i="18"/>
  <c r="AM5" i="18"/>
  <c r="K5" i="18"/>
  <c r="R5" i="18"/>
  <c r="Y35" i="18"/>
  <c r="AM29" i="18"/>
  <c r="R29" i="18"/>
  <c r="AM17" i="18"/>
  <c r="D11" i="18"/>
  <c r="AF5" i="18"/>
  <c r="R35" i="18"/>
  <c r="AF29" i="18"/>
  <c r="K29" i="18"/>
  <c r="Y11" i="18"/>
  <c r="AM35" i="18"/>
  <c r="K23" i="18"/>
  <c r="AF11" i="18"/>
  <c r="AM11" i="18"/>
  <c r="Y5" i="18"/>
  <c r="Y23" i="18"/>
  <c r="AF17" i="18"/>
  <c r="R23" i="18"/>
  <c r="A1" i="21"/>
  <c r="A12" i="20"/>
  <c r="AF36" i="18"/>
  <c r="D18" i="18"/>
  <c r="R12" i="18"/>
  <c r="AM6" i="18"/>
  <c r="K6" i="18"/>
  <c r="AF30" i="18"/>
  <c r="R24" i="18"/>
  <c r="AM18" i="18"/>
  <c r="R6" i="18"/>
  <c r="Y36" i="18"/>
  <c r="R30" i="18"/>
  <c r="K12" i="18"/>
  <c r="AF6" i="18"/>
  <c r="Y30" i="18"/>
  <c r="K24" i="18"/>
  <c r="AF18" i="18"/>
  <c r="AM24" i="18"/>
  <c r="D12" i="18"/>
  <c r="Y12" i="18"/>
  <c r="AM30" i="18"/>
  <c r="AF24" i="18"/>
  <c r="AM12" i="18"/>
  <c r="R36" i="18"/>
  <c r="K30" i="18"/>
  <c r="Y6" i="18"/>
  <c r="AF12" i="18"/>
  <c r="AM36" i="18"/>
  <c r="D24" i="18"/>
  <c r="K18" i="18"/>
  <c r="K36" i="18"/>
  <c r="Y24" i="18"/>
  <c r="D31" i="20"/>
  <c r="D50" i="20"/>
  <c r="C45" i="21"/>
  <c r="M6" i="18" a="1"/>
  <c r="H11" i="18"/>
  <c r="D33" i="20"/>
  <c r="C38" i="20"/>
  <c r="T6" i="18" a="1"/>
  <c r="C25" i="20"/>
  <c r="B14" i="21"/>
  <c r="C36" i="21"/>
  <c r="B31" i="21"/>
  <c r="AC29" i="18"/>
  <c r="AH12" i="18"/>
  <c r="C44" i="21"/>
  <c r="B46" i="21"/>
  <c r="AA6" i="18"/>
  <c r="B46" i="20"/>
  <c r="C37" i="21"/>
  <c r="AJ17" i="18"/>
  <c r="C27" i="20"/>
  <c r="C33" i="21"/>
  <c r="C35" i="20"/>
  <c r="AC6" i="18"/>
  <c r="O18" i="18"/>
  <c r="C34" i="21"/>
  <c r="V36" i="18"/>
  <c r="B56" i="21"/>
  <c r="D37" i="20"/>
  <c r="C52" i="21"/>
  <c r="C31" i="21"/>
  <c r="D39" i="20"/>
  <c r="B54" i="21"/>
  <c r="H12" i="18"/>
  <c r="C21" i="21"/>
  <c r="C37" i="20"/>
  <c r="V35" i="18"/>
  <c r="C22" i="21"/>
  <c r="D44" i="20"/>
  <c r="C41" i="20"/>
  <c r="B53" i="21"/>
  <c r="C51" i="20"/>
  <c r="B18" i="21"/>
  <c r="H17" i="18"/>
  <c r="C21" i="20"/>
  <c r="V29" i="18" a="1"/>
  <c r="AQ12" i="18"/>
  <c r="B38" i="21"/>
  <c r="B50" i="21"/>
  <c r="C31" i="20"/>
  <c r="B41" i="20"/>
  <c r="D47" i="20"/>
  <c r="AA29" i="18"/>
  <c r="AO17" i="18"/>
  <c r="B20" i="21"/>
  <c r="O17" i="18"/>
  <c r="C26" i="20"/>
  <c r="M12" i="18"/>
  <c r="C29" i="20"/>
  <c r="M5" i="18" a="1"/>
  <c r="AQ30" i="18"/>
  <c r="C53" i="20"/>
  <c r="B47" i="20"/>
  <c r="M30" i="18"/>
  <c r="C36" i="20"/>
  <c r="D35" i="20"/>
  <c r="AH24" i="18"/>
  <c r="T35" i="18"/>
  <c r="T30" i="18" a="1"/>
  <c r="AQ11" i="18"/>
  <c r="O29" i="18"/>
  <c r="T36" i="18"/>
  <c r="B30" i="21"/>
  <c r="B16" i="21"/>
  <c r="B37" i="21"/>
  <c r="B42" i="21"/>
  <c r="AQ5" i="18"/>
  <c r="O23" i="18"/>
  <c r="C12" i="21"/>
  <c r="M35" i="18"/>
  <c r="AO24" i="18"/>
  <c r="B29" i="20"/>
  <c r="C19" i="21"/>
  <c r="C50" i="20"/>
  <c r="C48" i="20"/>
  <c r="AQ36" i="18"/>
  <c r="AQ17" i="18"/>
  <c r="B51" i="21"/>
  <c r="C22" i="20"/>
  <c r="C50" i="21"/>
  <c r="O6" i="18" a="1"/>
  <c r="C45" i="20"/>
  <c r="D54" i="20"/>
  <c r="B23" i="21"/>
  <c r="B50" i="20"/>
  <c r="B22" i="21"/>
  <c r="AO5" i="18"/>
  <c r="B13" i="21"/>
  <c r="B21" i="20"/>
  <c r="AH17" i="18"/>
  <c r="C14" i="21"/>
  <c r="C44" i="20"/>
  <c r="D49" i="20"/>
  <c r="D32" i="20"/>
  <c r="C40" i="21"/>
  <c r="B48" i="21"/>
  <c r="AH6" i="18"/>
  <c r="B17" i="21"/>
  <c r="B30" i="20"/>
  <c r="AQ24" i="18"/>
  <c r="C56" i="21"/>
  <c r="AQ35" i="18"/>
  <c r="C54" i="20"/>
  <c r="F24" i="18"/>
  <c r="B54" i="20"/>
  <c r="C33" i="20"/>
  <c r="O30" i="18"/>
  <c r="AH23" i="18"/>
  <c r="V5" i="18" a="1"/>
  <c r="B34" i="21"/>
  <c r="M23" i="18"/>
  <c r="M18" i="18"/>
  <c r="B25" i="21"/>
  <c r="C32" i="20"/>
  <c r="C15" i="21"/>
  <c r="AO18" i="18"/>
  <c r="B10" i="21"/>
  <c r="C28" i="20"/>
  <c r="M36" i="18"/>
  <c r="C55" i="21"/>
  <c r="AJ11" i="18"/>
  <c r="AH5" i="18"/>
  <c r="D29" i="20"/>
  <c r="T5" i="18" a="1"/>
  <c r="C13" i="21"/>
  <c r="B28" i="21"/>
  <c r="B27" i="21"/>
  <c r="B58" i="21"/>
  <c r="AJ24" i="18"/>
  <c r="C46" i="21"/>
  <c r="C40" i="20"/>
  <c r="D40" i="20"/>
  <c r="C53" i="21"/>
  <c r="D26" i="20"/>
  <c r="D24" i="20"/>
  <c r="C47" i="21"/>
  <c r="AJ35" i="18"/>
  <c r="AA12" i="18" a="1"/>
  <c r="AO6" i="18"/>
  <c r="C18" i="21"/>
  <c r="O24" i="18"/>
  <c r="B12" i="21"/>
  <c r="D42" i="20"/>
  <c r="C10" i="21"/>
  <c r="C30" i="20"/>
  <c r="AQ23" i="18"/>
  <c r="V30" i="18" a="1"/>
  <c r="B32" i="20"/>
  <c r="AH36" i="18"/>
  <c r="C47" i="20"/>
  <c r="V12" i="18"/>
  <c r="C25" i="21"/>
  <c r="B22" i="20"/>
  <c r="C30" i="21"/>
  <c r="C20" i="21"/>
  <c r="C27" i="21"/>
  <c r="AH35" i="18"/>
  <c r="B51" i="20"/>
  <c r="B32" i="21"/>
  <c r="AH29" i="18"/>
  <c r="H23" i="18"/>
  <c r="D21" i="20"/>
  <c r="C51" i="21"/>
  <c r="C38" i="21"/>
  <c r="C29" i="21"/>
  <c r="AJ30" i="18"/>
  <c r="M24" i="18"/>
  <c r="B33" i="21"/>
  <c r="C49" i="21"/>
  <c r="AJ18" i="18"/>
  <c r="D45" i="20"/>
  <c r="F18" i="18"/>
  <c r="B48" i="20"/>
  <c r="B29" i="21"/>
  <c r="C28" i="21"/>
  <c r="B53" i="20"/>
  <c r="B57" i="21"/>
  <c r="H18" i="18"/>
  <c r="D46" i="20"/>
  <c r="C24" i="21"/>
  <c r="AJ12" i="18"/>
  <c r="M17" i="18"/>
  <c r="D27" i="20"/>
  <c r="B42" i="20"/>
  <c r="B34" i="20"/>
  <c r="B26" i="21"/>
  <c r="F12" i="18"/>
  <c r="B35" i="20"/>
  <c r="B19" i="21"/>
  <c r="C54" i="21"/>
  <c r="B26" i="20"/>
  <c r="B52" i="20"/>
  <c r="B40" i="21"/>
  <c r="AQ6" i="18"/>
  <c r="O12" i="18"/>
  <c r="V11" i="18"/>
  <c r="B47" i="21"/>
  <c r="B44" i="20"/>
  <c r="C35" i="21"/>
  <c r="O35" i="18"/>
  <c r="AJ5" i="18"/>
  <c r="B55" i="21"/>
  <c r="M11" i="18"/>
  <c r="B11" i="21"/>
  <c r="B37" i="20"/>
  <c r="AH11" i="18"/>
  <c r="D20" i="20"/>
  <c r="D43" i="20"/>
  <c r="B36" i="21"/>
  <c r="AJ6" i="18"/>
  <c r="AJ23" i="18"/>
  <c r="B24" i="21"/>
  <c r="AC11" i="18" a="1"/>
  <c r="C16" i="21"/>
  <c r="B31" i="20"/>
  <c r="B33" i="20"/>
  <c r="B49" i="20"/>
  <c r="B41" i="21"/>
  <c r="C39" i="21"/>
  <c r="AO36" i="18"/>
  <c r="M29" i="18"/>
  <c r="B23" i="20"/>
  <c r="AO12" i="18"/>
  <c r="B49" i="21"/>
  <c r="T11" i="18"/>
  <c r="B45" i="21"/>
  <c r="C46" i="20"/>
  <c r="D51" i="20"/>
  <c r="C43" i="21"/>
  <c r="V6" i="18" a="1"/>
  <c r="AC12" i="18" a="1"/>
  <c r="B43" i="21"/>
  <c r="AQ18" i="18"/>
  <c r="B44" i="21"/>
  <c r="C52" i="20"/>
  <c r="T29" i="18" a="1"/>
  <c r="D30" i="20"/>
  <c r="D25" i="20"/>
  <c r="AA5" i="18"/>
  <c r="AC5" i="18"/>
  <c r="AJ29" i="18"/>
  <c r="B20" i="20"/>
  <c r="AO35" i="18"/>
  <c r="B36" i="20"/>
  <c r="C17" i="21"/>
  <c r="AO11" i="18"/>
  <c r="D38" i="20"/>
  <c r="B43" i="20"/>
  <c r="B39" i="20"/>
  <c r="F17" i="18"/>
  <c r="C24" i="20"/>
  <c r="D22" i="20"/>
  <c r="F11" i="18"/>
  <c r="D23" i="20"/>
  <c r="D34" i="20"/>
  <c r="C41" i="21"/>
  <c r="D52" i="20"/>
  <c r="D36" i="20"/>
  <c r="C32" i="21"/>
  <c r="O11" i="18"/>
  <c r="B39" i="21"/>
  <c r="C43" i="20"/>
  <c r="C39" i="20"/>
  <c r="C48" i="21"/>
  <c r="AJ36" i="18"/>
  <c r="B40" i="20"/>
  <c r="C57" i="21"/>
  <c r="C42" i="20"/>
  <c r="F23" i="18"/>
  <c r="O5" i="18" a="1"/>
  <c r="D48" i="20"/>
  <c r="AC30" i="18"/>
  <c r="AH30" i="18"/>
  <c r="C20" i="20"/>
  <c r="C42" i="21"/>
  <c r="B52" i="21"/>
  <c r="C49" i="20"/>
  <c r="D41" i="20"/>
  <c r="T12" i="18"/>
  <c r="C23" i="21"/>
  <c r="D28" i="20"/>
  <c r="AA30" i="18"/>
  <c r="B15" i="21"/>
  <c r="C58" i="21"/>
  <c r="AO23" i="18"/>
  <c r="B27" i="20"/>
  <c r="B24" i="20"/>
  <c r="B28" i="20"/>
  <c r="AA11" i="18" a="1"/>
  <c r="AQ29" i="18"/>
  <c r="B35" i="21"/>
  <c r="O36" i="18"/>
  <c r="C23" i="20"/>
  <c r="H24" i="18"/>
  <c r="AO30" i="18"/>
  <c r="B25" i="20"/>
  <c r="C26" i="21"/>
  <c r="B21" i="21"/>
  <c r="AO29" i="18"/>
  <c r="C11" i="21"/>
  <c r="C34" i="20"/>
  <c r="AH18" i="18"/>
  <c r="B38" i="20"/>
  <c r="D53" i="20"/>
  <c r="AA24" i="18" l="1"/>
  <c r="T24" i="18" s="1"/>
  <c r="AC24" i="18"/>
  <c r="V24" i="18" s="1"/>
  <c r="M6" i="18"/>
  <c r="O6" i="18"/>
  <c r="AG19" i="18"/>
  <c r="AI19" i="18"/>
  <c r="N31" i="18"/>
  <c r="L31" i="18"/>
  <c r="AG37" i="18"/>
  <c r="AI37" i="18"/>
  <c r="AI31" i="18"/>
  <c r="AG31" i="18"/>
  <c r="T5" i="18"/>
  <c r="V5" i="18"/>
  <c r="S13" i="18"/>
  <c r="U13" i="18"/>
  <c r="AG25" i="18"/>
  <c r="AI25" i="18"/>
  <c r="AC11" i="18"/>
  <c r="AB13" i="18" s="1"/>
  <c r="AA11" i="18"/>
  <c r="AC12" i="18"/>
  <c r="AA12" i="18"/>
  <c r="T30" i="18"/>
  <c r="V30" i="18"/>
  <c r="Z7" i="18"/>
  <c r="AB7" i="18"/>
  <c r="U37" i="18"/>
  <c r="S37" i="18"/>
  <c r="M5" i="18"/>
  <c r="O5" i="18"/>
  <c r="N19" i="18"/>
  <c r="L19" i="18"/>
  <c r="AN37" i="18"/>
  <c r="AN31" i="18"/>
  <c r="AP31" i="18"/>
  <c r="AP30" i="18" s="1"/>
  <c r="AN13" i="18"/>
  <c r="AI7" i="18"/>
  <c r="AC23" i="18"/>
  <c r="AA23" i="18"/>
  <c r="AG7" i="18"/>
  <c r="AN7" i="18"/>
  <c r="AP25" i="18"/>
  <c r="AN25" i="18"/>
  <c r="V29" i="18"/>
  <c r="T29" i="18"/>
  <c r="E25" i="18"/>
  <c r="G25" i="18"/>
  <c r="T6" i="18"/>
  <c r="V6" i="18"/>
  <c r="AG13" i="18"/>
  <c r="AI13" i="18"/>
  <c r="G13" i="18"/>
  <c r="L13" i="18"/>
  <c r="N13" i="18"/>
  <c r="Z31" i="18"/>
  <c r="AB31" i="18"/>
  <c r="L25" i="18"/>
  <c r="N25" i="18"/>
  <c r="AN19" i="18"/>
  <c r="AP19" i="18"/>
  <c r="G19" i="18"/>
  <c r="L37" i="18"/>
  <c r="N37" i="18"/>
  <c r="E17" i="18"/>
  <c r="E18" i="18"/>
  <c r="AP36" i="18"/>
  <c r="AP35" i="18"/>
  <c r="AP6" i="18"/>
  <c r="AP5" i="18"/>
  <c r="E12" i="18"/>
  <c r="E11" i="18"/>
  <c r="AP12" i="18"/>
  <c r="AP11" i="18"/>
  <c r="Z13" i="18" l="1"/>
  <c r="Z12" i="18" s="1"/>
  <c r="N7" i="18"/>
  <c r="N5" i="18" s="1"/>
  <c r="L7" i="18"/>
  <c r="L5" i="18" s="1"/>
  <c r="U7" i="18"/>
  <c r="U6" i="18" s="1"/>
  <c r="Z25" i="18"/>
  <c r="T23" i="18"/>
  <c r="S25" i="18" s="1"/>
  <c r="AA37" i="18"/>
  <c r="AA36" i="18"/>
  <c r="AB29" i="18"/>
  <c r="AB30" i="18"/>
  <c r="AG5" i="18"/>
  <c r="AG6" i="18"/>
  <c r="L18" i="18"/>
  <c r="L17" i="18"/>
  <c r="AC36" i="18"/>
  <c r="AC37" i="18"/>
  <c r="U12" i="18"/>
  <c r="U11" i="18"/>
  <c r="L30" i="18"/>
  <c r="L29" i="18"/>
  <c r="N18" i="18"/>
  <c r="N17" i="18"/>
  <c r="AI17" i="18"/>
  <c r="AI18" i="18"/>
  <c r="G18" i="18"/>
  <c r="G17" i="18"/>
  <c r="L12" i="18"/>
  <c r="L11" i="18"/>
  <c r="AA35" i="18"/>
  <c r="S31" i="18"/>
  <c r="AI6" i="18"/>
  <c r="AI5" i="18"/>
  <c r="S7" i="18"/>
  <c r="AG18" i="18"/>
  <c r="AG17" i="18"/>
  <c r="Z30" i="18"/>
  <c r="Z29" i="18"/>
  <c r="S12" i="18"/>
  <c r="S11" i="18"/>
  <c r="AP18" i="18"/>
  <c r="AP17" i="18"/>
  <c r="G12" i="18"/>
  <c r="G11" i="18"/>
  <c r="U31" i="18"/>
  <c r="U30" i="18" s="1"/>
  <c r="AC35" i="18"/>
  <c r="AN12" i="18"/>
  <c r="AN11" i="18"/>
  <c r="S36" i="18"/>
  <c r="S35" i="18"/>
  <c r="AG30" i="18"/>
  <c r="AU31" i="18"/>
  <c r="AG29" i="18"/>
  <c r="N35" i="18"/>
  <c r="N36" i="18"/>
  <c r="E23" i="18"/>
  <c r="E24" i="18"/>
  <c r="AN18" i="18"/>
  <c r="AN17" i="18"/>
  <c r="AI12" i="18"/>
  <c r="AI11" i="18"/>
  <c r="AN24" i="18"/>
  <c r="AN23" i="18"/>
  <c r="U35" i="18"/>
  <c r="U36" i="18"/>
  <c r="AB12" i="18"/>
  <c r="AB11" i="18"/>
  <c r="AI29" i="18"/>
  <c r="AI30" i="18"/>
  <c r="G24" i="18"/>
  <c r="G23" i="18"/>
  <c r="N12" i="18"/>
  <c r="N11" i="18"/>
  <c r="V23" i="18"/>
  <c r="U25" i="18" s="1"/>
  <c r="AB25" i="18"/>
  <c r="N23" i="18"/>
  <c r="N24" i="18"/>
  <c r="AG12" i="18"/>
  <c r="AG11" i="18"/>
  <c r="AP23" i="18"/>
  <c r="AP24" i="18"/>
  <c r="AN29" i="18"/>
  <c r="AN30" i="18"/>
  <c r="AB5" i="18"/>
  <c r="AB6" i="18"/>
  <c r="AI23" i="18"/>
  <c r="AI24" i="18"/>
  <c r="AI36" i="18"/>
  <c r="AI35" i="18"/>
  <c r="N29" i="18"/>
  <c r="N30" i="18"/>
  <c r="L36" i="18"/>
  <c r="L35" i="18"/>
  <c r="L24" i="18"/>
  <c r="L23" i="18"/>
  <c r="AN5" i="18"/>
  <c r="AN6" i="18"/>
  <c r="AN35" i="18"/>
  <c r="AN36" i="18"/>
  <c r="Z6" i="18"/>
  <c r="Z5" i="18"/>
  <c r="AG24" i="18"/>
  <c r="AG23" i="18"/>
  <c r="AG35" i="18"/>
  <c r="AG36" i="18"/>
  <c r="Z11" i="18" l="1"/>
  <c r="AB37" i="18"/>
  <c r="AB36" i="18" s="1"/>
  <c r="U5" i="18"/>
  <c r="L6" i="18"/>
  <c r="N6" i="18"/>
  <c r="Z37" i="18"/>
  <c r="Z35" i="18" s="1"/>
  <c r="AB24" i="18"/>
  <c r="AB23" i="18"/>
  <c r="U24" i="18"/>
  <c r="U23" i="18"/>
  <c r="S29" i="18"/>
  <c r="S30" i="18"/>
  <c r="S24" i="18"/>
  <c r="AU25" i="18"/>
  <c r="S23" i="18"/>
  <c r="S6" i="18"/>
  <c r="S5" i="18"/>
  <c r="Z23" i="18"/>
  <c r="Z24" i="18"/>
  <c r="AB35" i="18" l="1"/>
  <c r="Z36" i="18"/>
  <c r="N32" i="7" l="1"/>
  <c r="O32" i="7" s="1"/>
  <c r="A93" i="17" l="1"/>
  <c r="A36" i="17"/>
  <c r="A14" i="17"/>
  <c r="A12" i="17"/>
  <c r="A29" i="17"/>
  <c r="A9" i="17"/>
  <c r="A23" i="17"/>
  <c r="A13" i="17"/>
  <c r="A24" i="17"/>
  <c r="A25" i="17"/>
  <c r="J4" i="1"/>
  <c r="L4" i="1"/>
  <c r="A87" i="17" s="1" a="1"/>
  <c r="A72" i="17" a="1"/>
  <c r="A48" i="17" a="1"/>
  <c r="A66" i="17" a="1"/>
  <c r="A55" i="17" a="1"/>
  <c r="A96" i="17" a="1"/>
  <c r="A65" i="17" a="1"/>
  <c r="A86" i="17" a="1"/>
  <c r="A81" i="17" a="1"/>
  <c r="A47" i="17" a="1"/>
  <c r="A61" i="17" a="1"/>
  <c r="A91" i="17" a="1"/>
  <c r="A76" i="17" a="1"/>
  <c r="A60" i="17" a="1"/>
  <c r="A56" i="17" a="1"/>
  <c r="A75" i="17" a="1"/>
  <c r="A92" i="17" a="1"/>
  <c r="A85" i="17" a="1"/>
  <c r="A80" i="17" a="1"/>
  <c r="A71" i="17" a="1"/>
  <c r="A70" i="17" a="1"/>
  <c r="A55" i="17" l="1"/>
  <c r="B55" i="17" s="1"/>
  <c r="A56" i="17"/>
  <c r="A60" i="17"/>
  <c r="A48" i="17"/>
  <c r="A92" i="17"/>
  <c r="A87" i="17"/>
  <c r="A91" i="17"/>
  <c r="A86" i="17"/>
  <c r="A81" i="17"/>
  <c r="A85" i="17"/>
  <c r="A80" i="17"/>
  <c r="A76" i="17"/>
  <c r="A75" i="17"/>
  <c r="A72" i="17"/>
  <c r="A71" i="17"/>
  <c r="A66" i="17"/>
  <c r="A70" i="17"/>
  <c r="A65" i="17"/>
  <c r="A61" i="17"/>
  <c r="A62" i="17" s="1"/>
  <c r="A47" i="17"/>
  <c r="B47" i="17" s="1"/>
  <c r="A96" i="17"/>
  <c r="A101" i="17" a="1"/>
  <c r="A97" i="17" a="1"/>
  <c r="A52" i="17" a="1"/>
  <c r="A51" i="17" a="1"/>
  <c r="A52" i="17" l="1"/>
  <c r="A88" i="17"/>
  <c r="A77" i="17"/>
  <c r="A82" i="17"/>
  <c r="A51" i="17"/>
  <c r="B51" i="17" s="1"/>
  <c r="A67" i="17"/>
  <c r="A97" i="17"/>
  <c r="A98" i="17" s="1"/>
  <c r="A102" i="17"/>
  <c r="A103" i="17" a="1"/>
  <c r="A101" i="17" l="1"/>
  <c r="A104" i="17" s="1"/>
  <c r="A103" i="17"/>
  <c r="A107" i="17" a="1"/>
  <c r="A107" i="17" l="1"/>
  <c r="A109" i="17"/>
  <c r="A112" i="17" a="1"/>
  <c r="A108" i="17" a="1"/>
  <c r="A108" i="17" l="1"/>
  <c r="A113" i="17" a="1"/>
  <c r="A112" i="17" l="1"/>
  <c r="A113" i="17"/>
  <c r="A117" i="17" a="1"/>
  <c r="A114" i="17" l="1"/>
  <c r="A117" i="17"/>
  <c r="L3" i="9"/>
  <c r="A119" i="17" a="1"/>
  <c r="A118" i="17"/>
  <c r="O3" i="9"/>
  <c r="A119" i="17" l="1"/>
  <c r="A120" i="17"/>
  <c r="B3" i="9"/>
  <c r="B2" i="16"/>
  <c r="B6" i="16"/>
  <c r="B3" i="16"/>
  <c r="B14" i="7"/>
  <c r="B5" i="16"/>
  <c r="S3" i="9"/>
  <c r="U3" i="9"/>
  <c r="L24" i="7" l="1"/>
  <c r="T24" i="7"/>
  <c r="A1" i="16"/>
  <c r="B40" i="5"/>
  <c r="B36" i="5"/>
  <c r="B32" i="5"/>
  <c r="B28" i="5"/>
  <c r="B23" i="5"/>
  <c r="B19" i="5"/>
  <c r="B15" i="5"/>
  <c r="B11" i="5"/>
  <c r="B27" i="5"/>
  <c r="B39" i="5"/>
  <c r="B35" i="5"/>
  <c r="B18" i="5"/>
  <c r="B31" i="5"/>
  <c r="B14" i="5"/>
  <c r="B22" i="5"/>
  <c r="B10" i="5"/>
  <c r="E11" i="16"/>
  <c r="B16" i="7"/>
  <c r="B18" i="7"/>
  <c r="D9" i="16"/>
  <c r="B11" i="16"/>
  <c r="D11" i="16"/>
  <c r="C10" i="16"/>
  <c r="C11" i="16"/>
  <c r="B10" i="16"/>
  <c r="E9" i="16"/>
  <c r="C9" i="16"/>
  <c r="E10" i="16"/>
  <c r="B9" i="16"/>
  <c r="B19" i="7"/>
  <c r="D10" i="16"/>
  <c r="B15" i="7"/>
  <c r="A2" i="5" l="1"/>
  <c r="B12" i="7"/>
  <c r="B20" i="7"/>
  <c r="F32" i="7"/>
  <c r="D25" i="7"/>
  <c r="N25" i="7"/>
  <c r="F31" i="7"/>
  <c r="F25" i="7"/>
  <c r="O26" i="7"/>
  <c r="M25" i="7"/>
  <c r="R25" i="7"/>
  <c r="A40" i="5"/>
  <c r="A21" i="5"/>
  <c r="A23" i="5"/>
  <c r="A19" i="5"/>
  <c r="G33" i="7"/>
  <c r="F33" i="7"/>
  <c r="E31" i="7"/>
  <c r="E32" i="7"/>
  <c r="D31" i="7"/>
  <c r="G31" i="7"/>
  <c r="E25" i="7"/>
  <c r="D24" i="7"/>
  <c r="A14" i="5"/>
  <c r="T25" i="7"/>
  <c r="A38" i="5"/>
  <c r="A26" i="5"/>
  <c r="A4" i="5"/>
  <c r="A34" i="5"/>
  <c r="D23" i="7"/>
  <c r="E24" i="7"/>
  <c r="A17" i="5"/>
  <c r="A9" i="5"/>
  <c r="A28" i="5"/>
  <c r="A36" i="5"/>
  <c r="A10" i="5"/>
  <c r="D32" i="7"/>
  <c r="A11" i="5"/>
  <c r="A18" i="5"/>
  <c r="A27" i="5"/>
  <c r="A32" i="5"/>
  <c r="A15" i="5"/>
  <c r="A35" i="5"/>
  <c r="A22" i="5"/>
  <c r="A13" i="5"/>
  <c r="A31" i="5"/>
  <c r="Q26" i="7"/>
  <c r="N26" i="7"/>
  <c r="L25" i="7"/>
  <c r="P26" i="7"/>
  <c r="E33" i="7"/>
  <c r="G25" i="7"/>
  <c r="P25" i="7"/>
  <c r="G32" i="7"/>
  <c r="Q25" i="7"/>
  <c r="A39" i="5"/>
  <c r="A30" i="5"/>
  <c r="O25" i="7"/>
  <c r="R26" i="7"/>
  <c r="G24" i="7"/>
  <c r="F24" i="7"/>
  <c r="G23" i="7"/>
  <c r="D33" i="7"/>
  <c r="S25" i="7"/>
  <c r="F23" i="7"/>
  <c r="E23" i="7"/>
  <c r="G26" i="8" l="1"/>
  <c r="O27" i="7"/>
  <c r="Q27" i="7"/>
  <c r="T26" i="8"/>
  <c r="P27" i="7"/>
  <c r="L26" i="8"/>
  <c r="F26" i="8"/>
  <c r="A1" i="5"/>
  <c r="M29" i="7"/>
  <c r="S26" i="8"/>
  <c r="E26" i="8"/>
  <c r="K26" i="8"/>
  <c r="J26" i="8"/>
  <c r="P26" i="8"/>
  <c r="U26" i="8"/>
  <c r="R27" i="7"/>
  <c r="N26" i="8"/>
  <c r="N27" i="7"/>
  <c r="O26" i="8"/>
  <c r="A26" i="8"/>
  <c r="L23" i="5"/>
  <c r="K14" i="5"/>
  <c r="M36" i="5"/>
  <c r="E11" i="5"/>
  <c r="H22" i="5"/>
  <c r="E32" i="5"/>
  <c r="H27" i="5"/>
  <c r="M39" i="5"/>
  <c r="I15" i="5"/>
  <c r="E14" i="5"/>
  <c r="I18" i="5"/>
  <c r="J23" i="5"/>
  <c r="K40" i="5"/>
  <c r="D40" i="5"/>
  <c r="D18" i="5"/>
  <c r="I11" i="5"/>
  <c r="E19" i="5"/>
  <c r="F35" i="5"/>
  <c r="H28" i="5"/>
  <c r="D27" i="5"/>
  <c r="E15" i="5"/>
  <c r="K22" i="5"/>
  <c r="N11" i="5"/>
  <c r="M11" i="5"/>
  <c r="K39" i="5"/>
  <c r="J32" i="5"/>
  <c r="F15" i="5"/>
  <c r="N15" i="5"/>
  <c r="I31" i="5"/>
  <c r="J36" i="5"/>
  <c r="C22" i="5"/>
  <c r="G32" i="5"/>
  <c r="C10" i="5"/>
  <c r="E36" i="5"/>
  <c r="G31" i="5"/>
  <c r="E27" i="5"/>
  <c r="D15" i="5"/>
  <c r="C28" i="5"/>
  <c r="C14" i="5"/>
  <c r="H36" i="5"/>
  <c r="C35" i="5"/>
  <c r="G27" i="5"/>
  <c r="L19" i="5"/>
  <c r="C39" i="5"/>
  <c r="N35" i="5"/>
  <c r="D28" i="5"/>
  <c r="H11" i="5"/>
  <c r="K10" i="5"/>
  <c r="C11" i="5"/>
  <c r="D23" i="5"/>
  <c r="D14" i="5"/>
  <c r="F27" i="5"/>
  <c r="J11" i="5"/>
  <c r="H35" i="5"/>
  <c r="C40" i="5"/>
  <c r="N39" i="5"/>
  <c r="G28" i="5"/>
  <c r="D22" i="5"/>
  <c r="F31" i="5"/>
  <c r="N36" i="5"/>
  <c r="M15" i="5"/>
  <c r="L32" i="5"/>
  <c r="H15" i="5"/>
  <c r="E10" i="5"/>
  <c r="G40" i="5"/>
  <c r="N14" i="5"/>
  <c r="J31" i="5"/>
  <c r="M31" i="5"/>
  <c r="I39" i="5"/>
  <c r="M14" i="5"/>
  <c r="H32" i="5"/>
  <c r="I19" i="5"/>
  <c r="N18" i="5"/>
  <c r="I22" i="5"/>
  <c r="F14" i="5"/>
  <c r="M28" i="5"/>
  <c r="K31" i="5"/>
  <c r="E39" i="5"/>
  <c r="I36" i="5"/>
  <c r="J28" i="5"/>
  <c r="N22" i="5"/>
  <c r="E23" i="5"/>
  <c r="D36" i="5"/>
  <c r="L36" i="5"/>
  <c r="H23" i="5"/>
  <c r="M22" i="5"/>
  <c r="G18" i="5"/>
  <c r="E22" i="5"/>
  <c r="N40" i="5"/>
  <c r="I23" i="5"/>
  <c r="C23" i="5"/>
  <c r="M32" i="5"/>
  <c r="I10" i="5"/>
  <c r="C18" i="5"/>
  <c r="C32" i="5"/>
  <c r="E31" i="5"/>
  <c r="K36" i="5"/>
  <c r="G19" i="5"/>
  <c r="M23" i="5"/>
  <c r="F32" i="5"/>
  <c r="G22" i="5"/>
  <c r="N27" i="5"/>
  <c r="C27" i="5"/>
  <c r="F19" i="5"/>
  <c r="H14" i="5"/>
  <c r="L27" i="5"/>
  <c r="M40" i="5"/>
  <c r="K28" i="5"/>
  <c r="L39" i="5"/>
  <c r="C31" i="5"/>
  <c r="J19" i="5"/>
  <c r="E35" i="5"/>
  <c r="F10" i="5"/>
  <c r="L18" i="5"/>
  <c r="E28" i="5"/>
  <c r="F11" i="5"/>
  <c r="F28" i="5"/>
  <c r="I14" i="5"/>
  <c r="C19" i="5"/>
  <c r="D39" i="5"/>
  <c r="I40" i="5"/>
  <c r="D31" i="5"/>
  <c r="J40" i="5"/>
  <c r="D32" i="5"/>
  <c r="E40" i="5"/>
  <c r="L28" i="5"/>
  <c r="J14" i="5"/>
  <c r="D35" i="5"/>
  <c r="J39" i="5"/>
  <c r="L14" i="5"/>
  <c r="K18" i="5"/>
  <c r="N10" i="5"/>
  <c r="J10" i="5"/>
  <c r="C36" i="5"/>
  <c r="F36" i="5"/>
  <c r="G11" i="5"/>
  <c r="M18" i="5"/>
  <c r="M27" i="5"/>
  <c r="N19" i="5"/>
  <c r="K23" i="5"/>
  <c r="I27" i="5"/>
  <c r="H39" i="5"/>
  <c r="G35" i="5"/>
  <c r="H40" i="5"/>
  <c r="L10" i="5"/>
  <c r="J27" i="5"/>
  <c r="H19" i="5"/>
  <c r="K27" i="5"/>
  <c r="K11" i="5"/>
  <c r="K32" i="5"/>
  <c r="H10" i="5"/>
  <c r="F23" i="5"/>
  <c r="M10" i="5"/>
  <c r="I28" i="5"/>
  <c r="K35" i="5"/>
  <c r="J18" i="5"/>
  <c r="L11" i="5"/>
  <c r="J15" i="5"/>
  <c r="D11" i="5"/>
  <c r="G36" i="5"/>
  <c r="N23" i="5"/>
  <c r="D19" i="5"/>
  <c r="J22" i="5"/>
  <c r="L40" i="5"/>
  <c r="I32" i="5"/>
  <c r="H31" i="5"/>
  <c r="G39" i="5"/>
  <c r="H18" i="5"/>
  <c r="G23" i="5"/>
  <c r="M35" i="5"/>
  <c r="L22" i="5"/>
  <c r="N28" i="5"/>
  <c r="N31" i="5"/>
  <c r="M19" i="5"/>
  <c r="G14" i="5"/>
  <c r="F22" i="5"/>
  <c r="K15" i="5"/>
  <c r="F18" i="5"/>
  <c r="F39" i="5"/>
  <c r="L35" i="5"/>
  <c r="F40" i="5"/>
  <c r="K19" i="5"/>
  <c r="N32" i="5"/>
  <c r="C15" i="5"/>
  <c r="D10" i="5"/>
  <c r="J35" i="5"/>
  <c r="G10" i="5"/>
  <c r="E18" i="5"/>
  <c r="I35" i="5"/>
  <c r="L15" i="5"/>
  <c r="L31" i="5"/>
  <c r="G15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<sst xmlns="http://schemas.openxmlformats.org/spreadsheetml/2006/main" count="837" uniqueCount="285">
  <si>
    <t>Summary</t>
  </si>
  <si>
    <t>Global EBITDA</t>
  </si>
  <si>
    <t>Month</t>
  </si>
  <si>
    <t>Cubo</t>
  </si>
  <si>
    <t>CONS_VC:DFS.200.KPIs</t>
  </si>
  <si>
    <t>CONS_VC:DFS.100.Profit_and_loss</t>
  </si>
  <si>
    <t>CONS_VC:DFS.140.Indirect_Cash_Flow</t>
  </si>
  <si>
    <t>CONS_VC:DFS.180.Gross_Debt</t>
  </si>
  <si>
    <t>CONS_VC:REV.100.Revenue_Consolidated</t>
  </si>
  <si>
    <t>Ano</t>
  </si>
  <si>
    <t>Mês</t>
  </si>
  <si>
    <t>Versão</t>
  </si>
  <si>
    <t>Currency</t>
  </si>
  <si>
    <t>Region</t>
  </si>
  <si>
    <t>Produto</t>
  </si>
  <si>
    <t>Accounts_PNL</t>
  </si>
  <si>
    <t>Net Profit</t>
  </si>
  <si>
    <t>Accounts_ICF</t>
  </si>
  <si>
    <t>Change in cash</t>
  </si>
  <si>
    <t>DFS.100.Profil_and_Loss</t>
  </si>
  <si>
    <t>Global EBITDA Month</t>
  </si>
  <si>
    <t>VCBR</t>
  </si>
  <si>
    <t>VCNA</t>
  </si>
  <si>
    <t>VCEA</t>
  </si>
  <si>
    <t>VCLatam</t>
  </si>
  <si>
    <t>Budget</t>
  </si>
  <si>
    <t>YTD</t>
  </si>
  <si>
    <t>Formato</t>
  </si>
  <si>
    <t>Global EBITDA YTD</t>
  </si>
  <si>
    <t>Full Year</t>
  </si>
  <si>
    <t>Global EBITDA Full Year</t>
  </si>
  <si>
    <t>Regions EBITDA</t>
  </si>
  <si>
    <t>Regions</t>
  </si>
  <si>
    <t>L300</t>
  </si>
  <si>
    <t>RF</t>
  </si>
  <si>
    <t>EBITDA Econômico</t>
  </si>
  <si>
    <t>VCEAA</t>
  </si>
  <si>
    <t>VCLATAM</t>
  </si>
  <si>
    <t>ALL.D.Year</t>
  </si>
  <si>
    <t>ALL.D.Products</t>
  </si>
  <si>
    <t>ALL.D.Currency</t>
  </si>
  <si>
    <t>ALL.D.Region</t>
  </si>
  <si>
    <t>Global</t>
  </si>
  <si>
    <t>VCOTHERS</t>
  </si>
  <si>
    <t>Jan</t>
  </si>
  <si>
    <t>Mar</t>
  </si>
  <si>
    <t>Feb</t>
  </si>
  <si>
    <t>Apr</t>
  </si>
  <si>
    <t>May</t>
  </si>
  <si>
    <t>Jun</t>
  </si>
  <si>
    <t>Aug</t>
  </si>
  <si>
    <t>Sep</t>
  </si>
  <si>
    <t>Oct</t>
  </si>
  <si>
    <t>Nov</t>
  </si>
  <si>
    <t>Dec</t>
  </si>
  <si>
    <t>Jul</t>
  </si>
  <si>
    <t>[Begin Format Range]</t>
  </si>
  <si>
    <t>Default</t>
  </si>
  <si>
    <t>Leaf</t>
  </si>
  <si>
    <t>[End Format Range]</t>
  </si>
  <si>
    <t>Nome do elemento</t>
  </si>
  <si>
    <t>{DRILLDOWNMEMBER({[DFS.D.Accounts_PnL].[DFS.D.Accounts_PnL].[EBITDA]} , {[DFS.D.Accounts_PnL].[DFS.D.Accounts_PnL].[EBITDA]})}</t>
  </si>
  <si>
    <t>DFS.M.100.Profit_and_Loss</t>
  </si>
  <si>
    <t>ALL.D.Version</t>
  </si>
  <si>
    <t>Actual</t>
  </si>
  <si>
    <t>Others</t>
  </si>
  <si>
    <t>FX</t>
  </si>
  <si>
    <t>Year</t>
  </si>
  <si>
    <t>Q1</t>
  </si>
  <si>
    <t>Q2</t>
  </si>
  <si>
    <t>Q3</t>
  </si>
  <si>
    <t>Q4</t>
  </si>
  <si>
    <t>EBITDA/Net Revenue (%)</t>
  </si>
  <si>
    <t>EBIT – Full Year</t>
  </si>
  <si>
    <t>DFS.M.140.Indirect_Cash_Flow</t>
  </si>
  <si>
    <t>DFS.D.Accounts_ICF</t>
  </si>
  <si>
    <t>Year:</t>
  </si>
  <si>
    <t>Product:</t>
  </si>
  <si>
    <t>Fx</t>
  </si>
  <si>
    <t>Empresa</t>
  </si>
  <si>
    <t>Quarter View</t>
  </si>
  <si>
    <t>Full Year View</t>
  </si>
  <si>
    <t>IFRS16 adj</t>
  </si>
  <si>
    <t>+</t>
  </si>
  <si>
    <t>FY</t>
  </si>
  <si>
    <t>-</t>
  </si>
  <si>
    <t>Net Debt (€M)</t>
  </si>
  <si>
    <t>Net Rev. (€M)</t>
  </si>
  <si>
    <t>Cement Volume (kt)</t>
  </si>
  <si>
    <t>Fuel (€/t)</t>
  </si>
  <si>
    <t>Thermal Sub. (%)</t>
  </si>
  <si>
    <t>L500</t>
  </si>
  <si>
    <t>Net Profit (€M)</t>
  </si>
  <si>
    <t>EBITDA (€M)</t>
  </si>
  <si>
    <t>EBITDA Oth. BUs. (€M)</t>
  </si>
  <si>
    <t>Cement Net FOB (€/t)</t>
  </si>
  <si>
    <t>CO2 Gross (kg/ton)</t>
  </si>
  <si>
    <t>Thermal C. (kcal/t kk)</t>
  </si>
  <si>
    <t>FCF (€M)</t>
  </si>
  <si>
    <t>Capex (€M)</t>
  </si>
  <si>
    <t>CO2 Net (kg/ton)</t>
  </si>
  <si>
    <t>Petcoke Price (USD/t)</t>
  </si>
  <si>
    <t>ROIC (%)</t>
  </si>
  <si>
    <r>
      <rPr>
        <b/>
        <sz val="10"/>
        <rFont val="Calibri"/>
        <family val="2"/>
      </rPr>
      <t>∆</t>
    </r>
    <r>
      <rPr>
        <b/>
        <sz val="10"/>
        <rFont val="Arial"/>
        <family val="2"/>
      </rPr>
      <t xml:space="preserve"> WK Capital (€M)</t>
    </r>
  </si>
  <si>
    <t>Cem. Cash Cost (€/t)</t>
  </si>
  <si>
    <t>Cement Var. Costs (€/t)</t>
  </si>
  <si>
    <t>Power (€/t)</t>
  </si>
  <si>
    <t>Power Price (€/MWh)</t>
  </si>
  <si>
    <t>Income Tax (€M)</t>
  </si>
  <si>
    <t>Fixed Cost (€M)</t>
  </si>
  <si>
    <t>Cement Fix. Costs (€/t)</t>
  </si>
  <si>
    <t>Raw Material (€/t)</t>
  </si>
  <si>
    <t>Power Cons. (kWh/t)</t>
  </si>
  <si>
    <t>Fin. Results / FX / Oth (€M)</t>
  </si>
  <si>
    <t>SG&amp;A (€M)</t>
  </si>
  <si>
    <t>FC+SG&amp;A/Net Sales (%)</t>
  </si>
  <si>
    <t>Other Variable (€/t)</t>
  </si>
  <si>
    <t>Clinker Factor (%)</t>
  </si>
  <si>
    <t>Value</t>
  </si>
  <si>
    <t>Total Value</t>
  </si>
  <si>
    <t>Higher is better</t>
  </si>
  <si>
    <t>Lower is better</t>
  </si>
  <si>
    <t>Driver Name</t>
  </si>
  <si>
    <t>YTD Actual</t>
  </si>
  <si>
    <t>FY RF</t>
  </si>
  <si>
    <t>YTD L300</t>
  </si>
  <si>
    <t>FY L300</t>
  </si>
  <si>
    <t>Better than L500</t>
  </si>
  <si>
    <t>Better than L300, worse than L500</t>
  </si>
  <si>
    <t>Worse than L300</t>
  </si>
  <si>
    <t>Cambiada la fórmula</t>
  </si>
  <si>
    <t>=IF(Z33="+";IF(AB35&gt;AB37*(1+IF(AB37&gt;0;$A$4;-$A$4));1;IF(AB35&gt;=AB36*(1+IF(AB36&gt;0;-$A$4;$A$4));0;-1));IF(Z33="-";IF(AB35&lt;AB37*(1+IF(AB37&gt;0;-$A$4;$A$4));1;IF(AB35&lt;=AB36*(1+IF(AB36&gt;0;$A$4;-$A$4));0;-1))))</t>
  </si>
  <si>
    <t>por</t>
  </si>
  <si>
    <t>=IF(Z33="+";IF(AB35&gt;AB37*(1+IF(AB37&gt;0;$A$4;-$A$4));0;IF(AB35&gt;=AB36*(1+IF(AB36&gt;0;-$A$4;$A$4));0;-1));IF(Z33="-";IF(AB35&lt;AB37*(1+IF(AB37&gt;0;-$A$4;$A$4));0;IF(AB35&lt;=AB36*(1+IF(AB36&gt;0;$A$4;-$A$4));0;-1))))</t>
  </si>
  <si>
    <t>DFS.200.KPIs</t>
  </si>
  <si>
    <t>DFM.100.Profil_and_Loss</t>
  </si>
  <si>
    <t>ALL.D.Month</t>
  </si>
  <si>
    <t>Adjustments</t>
  </si>
  <si>
    <t>EBITDA</t>
  </si>
  <si>
    <t>Income tax on transactions</t>
  </si>
  <si>
    <t>Working capital</t>
  </si>
  <si>
    <t>Non expansion capex</t>
  </si>
  <si>
    <t>Dividends received</t>
  </si>
  <si>
    <t>Financial Results</t>
  </si>
  <si>
    <t>Debt Amortization</t>
  </si>
  <si>
    <t>Financial Revenue</t>
  </si>
  <si>
    <t>Other Financial Expenses</t>
  </si>
  <si>
    <t>Derivatives settlement</t>
  </si>
  <si>
    <t>Tax on Financial Revenue</t>
  </si>
  <si>
    <t>Other</t>
  </si>
  <si>
    <t>SCF before dividends</t>
  </si>
  <si>
    <t>Payment of dividends to Controlling</t>
  </si>
  <si>
    <t>Payment of dividends to Minority</t>
  </si>
  <si>
    <t>Sustainable Cash Flow</t>
  </si>
  <si>
    <t>Expansion capex</t>
  </si>
  <si>
    <t>Inv/Div in Subsidiaries and Affiliates</t>
  </si>
  <si>
    <t>FX/Others</t>
  </si>
  <si>
    <t>FX on Cash Position</t>
  </si>
  <si>
    <t>Cash generation before financing</t>
  </si>
  <si>
    <t>Intercompany dividends</t>
  </si>
  <si>
    <t>Amortization</t>
  </si>
  <si>
    <t>Funding</t>
  </si>
  <si>
    <t>Initial Cash Balance</t>
  </si>
  <si>
    <t>Final Cash Position</t>
  </si>
  <si>
    <t>Final Cash Position Aux</t>
  </si>
  <si>
    <t>Final Debt Position</t>
  </si>
  <si>
    <t>MTM</t>
  </si>
  <si>
    <t>Final Net Debt</t>
  </si>
  <si>
    <t>Adj EBITDA LTM</t>
  </si>
  <si>
    <t>Adjusts LTM</t>
  </si>
  <si>
    <t>Leverage</t>
  </si>
  <si>
    <t>Aux</t>
  </si>
  <si>
    <t>Production volume (kt)</t>
  </si>
  <si>
    <t>Petcoke Price (LMU/t)</t>
  </si>
  <si>
    <t>Power Price (LMU/MWh)</t>
  </si>
  <si>
    <t>Cash Cost (LMU/t)</t>
  </si>
  <si>
    <t>Cement Var. Costs (LMU/t)</t>
  </si>
  <si>
    <t>Fuel (LMU/t)</t>
  </si>
  <si>
    <t>Power (LMU/t)</t>
  </si>
  <si>
    <t>Raw Material (LMU/t)</t>
  </si>
  <si>
    <t>Package</t>
  </si>
  <si>
    <t>Aux. Materials</t>
  </si>
  <si>
    <t>Operacional Services</t>
  </si>
  <si>
    <t>Internal Freight</t>
  </si>
  <si>
    <t>Variavel maintenance</t>
  </si>
  <si>
    <t>Other Variable (LMU/t)</t>
  </si>
  <si>
    <t>Cement Fix. Costs (LMU/t)</t>
  </si>
  <si>
    <t>Labor (LMU/t)</t>
  </si>
  <si>
    <t>Maintenance (LMU/t)</t>
  </si>
  <si>
    <t>Other Fixed Costs (LMU/t)</t>
  </si>
  <si>
    <t>IFRS16</t>
  </si>
  <si>
    <t>Revenue</t>
  </si>
  <si>
    <t>Volume</t>
  </si>
  <si>
    <t>Price</t>
  </si>
  <si>
    <t>Market Share Cement (%)</t>
  </si>
  <si>
    <t>Demand of Cement</t>
  </si>
  <si>
    <t>EBITDA LTM</t>
  </si>
  <si>
    <t>Depreciação LTM</t>
  </si>
  <si>
    <t>Income Tax Theoretical</t>
  </si>
  <si>
    <t>Income Tax LTM</t>
  </si>
  <si>
    <t>Equity LTM</t>
  </si>
  <si>
    <t>Assets</t>
  </si>
  <si>
    <t>(+) Gross Fixed Assets</t>
  </si>
  <si>
    <t>(-) Accumulated Depreciation</t>
  </si>
  <si>
    <t>(+) Adjustment Hyperinflation</t>
  </si>
  <si>
    <t>(+) Inflation adjustment</t>
  </si>
  <si>
    <t>(+) Right of Use</t>
  </si>
  <si>
    <t>(+) Investments</t>
  </si>
  <si>
    <t>(+) Goodwill</t>
  </si>
  <si>
    <t>(+) Intangible</t>
  </si>
  <si>
    <t>Working Capital Balance</t>
  </si>
  <si>
    <t>NOPAT + Equity Pick Up</t>
  </si>
  <si>
    <t>EBIT</t>
  </si>
  <si>
    <t>Invested Capital Avg</t>
  </si>
  <si>
    <t>% ROIC</t>
  </si>
  <si>
    <t>Preço do Cimento</t>
  </si>
  <si>
    <t>Cobo de Receita</t>
  </si>
  <si>
    <t>Produto Cimento</t>
  </si>
  <si>
    <t>ZBB total</t>
  </si>
  <si>
    <t xml:space="preserve"> QoQ Overview</t>
  </si>
  <si>
    <t>QoQ Overview</t>
  </si>
  <si>
    <t>EUR</t>
  </si>
  <si>
    <t>UYU</t>
  </si>
  <si>
    <t>BOB</t>
  </si>
  <si>
    <t>TRY</t>
  </si>
  <si>
    <t>Net Debt / Adj EBITDA (x)</t>
  </si>
  <si>
    <t>EBITDA (BRL M) Mg. EBITDA - VCBR</t>
  </si>
  <si>
    <t>Cement</t>
  </si>
  <si>
    <t>Ready Mix</t>
  </si>
  <si>
    <t>Aggregates</t>
  </si>
  <si>
    <t>Mortars</t>
  </si>
  <si>
    <t>Agric Lime</t>
  </si>
  <si>
    <t>Lime</t>
  </si>
  <si>
    <t>Motz</t>
  </si>
  <si>
    <t>EBITDA VCBR Breakdown (BRL M)</t>
  </si>
  <si>
    <t>Corporate</t>
  </si>
  <si>
    <t>Spain</t>
  </si>
  <si>
    <t>Turkey</t>
  </si>
  <si>
    <t>Itacamba</t>
  </si>
  <si>
    <t>Artigas</t>
  </si>
  <si>
    <t>EBITDA (USD M) Mg. EBITDA - VCLatam</t>
  </si>
  <si>
    <t>EBIT (USD M) Mg. EBITDA - VCLatam</t>
  </si>
  <si>
    <t>EBIT (EUR M) Mg. EBITDA - VCEA</t>
  </si>
  <si>
    <t>EBITDA (EUR M) Mg. EBITDA - VCEA</t>
  </si>
  <si>
    <t>EBIT (USD M) Mg. EBITDA - VCNA</t>
  </si>
  <si>
    <t>EBITDA (USD M) Mg. EBITDA - VCNA</t>
  </si>
  <si>
    <t>EBIT (BRL M) Mg. EBIT - VCBR</t>
  </si>
  <si>
    <t>Net Debt (M)</t>
  </si>
  <si>
    <t>EBITDA (M)</t>
  </si>
  <si>
    <t>EBIT (M)</t>
  </si>
  <si>
    <t>Capex (M)</t>
  </si>
  <si>
    <t>WK Capital (M)</t>
  </si>
  <si>
    <t>Income Tax (M)</t>
  </si>
  <si>
    <t>Fin. Results (M)</t>
  </si>
  <si>
    <t>FCF (M)</t>
  </si>
  <si>
    <t>Net Profit (M)</t>
  </si>
  <si>
    <t>EBITDA VCLatam Breakdown (USD M)</t>
  </si>
  <si>
    <t>EBITDA VCNA Breakdown (USD M)</t>
  </si>
  <si>
    <t>PRODRM010 - Ready Mix</t>
  </si>
  <si>
    <t>PRODCE010 - Cement</t>
  </si>
  <si>
    <t>PRODAG010 - Aggregates</t>
  </si>
  <si>
    <t>PRODMT010 - Mortars</t>
  </si>
  <si>
    <t>PRODAL010 - Ag. Lime</t>
  </si>
  <si>
    <t>PRODLM010 - Lime</t>
  </si>
  <si>
    <t>PRODMZ010 - Motz</t>
  </si>
  <si>
    <t>PRODCORP - Corporate</t>
  </si>
  <si>
    <t>Total Products</t>
  </si>
  <si>
    <t>EBITDA VCEA Breakdown (EUR M)</t>
  </si>
  <si>
    <t>EBITDA VCEA (LMU M)</t>
  </si>
  <si>
    <t>EBITDA VCLatam  (LMU M)</t>
  </si>
  <si>
    <t>[Modelo Global Result.xlsx]Value Tree 1 - Fx'!A23</t>
  </si>
  <si>
    <t>CORP</t>
  </si>
  <si>
    <t>ESPA</t>
  </si>
  <si>
    <t>TURK</t>
  </si>
  <si>
    <t>ARTI</t>
  </si>
  <si>
    <t>ITACA</t>
  </si>
  <si>
    <t>Trading</t>
  </si>
  <si>
    <t>VCI</t>
  </si>
  <si>
    <t>Global incl. Avellaneda</t>
  </si>
  <si>
    <t>VCLATAM Incl. AVEL</t>
  </si>
  <si>
    <t>AVEL</t>
  </si>
  <si>
    <t>Hard Currency</t>
  </si>
  <si>
    <t>USD Conv.</t>
  </si>
  <si>
    <t>BRL Conv.</t>
  </si>
  <si>
    <t>EUR Conv.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</si>
</sst>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_-#,##0_-;\-#,##0_-;_-&quot;-&quot;_-;_-@_-"/>
    <numFmt numFmtId="167" formatCode="#,##0.0_);\(#,##0.0\)"/>
    <numFmt numFmtId="168" formatCode="_(* #,##0.00_);_(* \(#,##0.00\);_(* &quot;-&quot;??_);_(@_)"/>
  </numFmts>
  <fonts count="5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20"/>
      <color rgb="FF3A3A99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3A3A99"/>
      <name val="Aptos Narrow"/>
      <family val="2"/>
      <scheme val="minor"/>
    </font>
    <font>
      <sz val="10.5"/>
      <name val="Calibri"/>
      <family val="2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0.5"/>
      <color indexed="21"/>
      <name val="Calibri"/>
      <family val="2"/>
    </font>
    <font>
      <sz val="8"/>
      <name val="Aptos Narrow"/>
      <family val="2"/>
      <scheme val="minor"/>
    </font>
    <font>
      <b/>
      <sz val="20"/>
      <color rgb="FF0000BF"/>
      <name val="Votorantim Sans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0"/>
      <color theme="1"/>
      <name val="Votorantim Sans"/>
    </font>
    <font>
      <b/>
      <sz val="11"/>
      <color indexed="8"/>
      <name val="Aptos Narrow"/>
      <family val="2"/>
    </font>
    <font>
      <b/>
      <sz val="14"/>
      <color rgb="FF000000"/>
      <name val="Votorantim Sans"/>
    </font>
    <font>
      <sz val="10"/>
      <color theme="1"/>
      <name val="Aptos Narrow"/>
      <family val="2"/>
      <scheme val="minor"/>
    </font>
    <font>
      <sz val="10"/>
      <color rgb="FFC0C0C0"/>
      <name val="Aptos Narrow"/>
      <family val="2"/>
      <scheme val="minor"/>
    </font>
    <font>
      <sz val="10"/>
      <color rgb="FF6F8DB9"/>
      <name val="Aptos Narrow"/>
      <family val="2"/>
      <scheme val="minor"/>
    </font>
    <font>
      <sz val="10"/>
      <color rgb="FF0000BF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name val="Aptos Narrow"/>
      <family val="2"/>
    </font>
    <font>
      <b/>
      <u/>
      <sz val="14"/>
      <name val="Aptos Narrow"/>
      <family val="2"/>
      <scheme val="minor"/>
    </font>
    <font>
      <b/>
      <sz val="10.5"/>
      <name val="Calibri"/>
      <family val="2"/>
    </font>
    <font>
      <b/>
      <sz val="11"/>
      <name val="Aptos Narrow"/>
      <family val="2"/>
      <scheme val="minor"/>
    </font>
    <font>
      <i/>
      <sz val="9"/>
      <color theme="1"/>
      <name val="Votorantim SAns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.5"/>
      <color theme="1" tint="0.24994659260841701"/>
      <name val="Calibri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rgb="FFC00000"/>
      <name val="Arial"/>
      <family val="2"/>
    </font>
    <font>
      <sz val="10"/>
      <name val="Arial"/>
      <family val="2"/>
    </font>
    <font>
      <sz val="8"/>
      <color theme="0" tint="-0.499984740745262"/>
      <name val="Arial"/>
      <family val="2"/>
    </font>
    <font>
      <b/>
      <sz val="10"/>
      <name val="Calibri"/>
      <family val="2"/>
    </font>
    <font>
      <b/>
      <sz val="7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theme="1"/>
      <name val="Votorantim SAns"/>
    </font>
    <font>
      <b/>
      <i/>
      <sz val="11"/>
      <color rgb="FF0000BF"/>
      <name val="Calibri"/>
      <family val="2"/>
    </font>
    <font>
      <b/>
      <sz val="9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sz val="1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62AE"/>
        <bgColor indexed="64"/>
      </patternFill>
    </fill>
    <fill>
      <patternFill patternType="solid">
        <fgColor rgb="FF90BE3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A84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BF"/>
        <bgColor indexed="64"/>
      </patternFill>
    </fill>
    <fill>
      <patternFill patternType="solid">
        <fgColor theme="3" tint="0.89999084444715716"/>
        <bgColor indexed="64"/>
      </patternFill>
    </fill>
  </fills>
  <borders count="104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3A3A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/>
      <top/>
      <bottom/>
      <diagonal/>
    </border>
    <border>
      <left style="thin">
        <color theme="0" tint="-0.2499465926084170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indexed="64"/>
      </top>
      <bottom/>
      <diagonal/>
    </border>
    <border>
      <left style="thin">
        <color theme="0" tint="-4.9989318521683403E-2"/>
      </left>
      <right/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indexed="64"/>
      </bottom>
      <diagonal/>
    </border>
    <border>
      <left/>
      <right style="thin">
        <color theme="0" tint="-4.9989318521683403E-2"/>
      </right>
      <top/>
      <bottom style="thin">
        <color indexed="64"/>
      </bottom>
      <diagonal/>
    </border>
    <border>
      <left/>
      <right style="thin">
        <color theme="0" tint="-4.9989318521683403E-2"/>
      </right>
      <top style="thin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 style="thin">
        <color indexed="64"/>
      </bottom>
      <diagonal/>
    </border>
  </borders>
  <cellStyleXfs count="79">
    <xf numFmtId="0" fontId="0" fillId="0" borderId="0"/>
    <xf numFmtId="9" fontId="1" fillId="0" borderId="0" applyFont="0" applyFill="0" applyBorder="0" applyAlignment="0" applyProtection="0"/>
    <xf numFmtId="0" fontId="3" fillId="0" borderId="1" applyNumberFormat="0" applyFill="0" applyProtection="0">
      <alignment horizontal="center" vertical="center"/>
    </xf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>
      <alignment horizontal="right" vertical="center"/>
    </xf>
    <xf numFmtId="3" fontId="4" fillId="2" borderId="2">
      <alignment horizontal="center" vertical="center"/>
    </xf>
    <xf numFmtId="0" fontId="4" fillId="2" borderId="2">
      <alignment horizontal="right" vertical="center"/>
    </xf>
    <xf numFmtId="0" fontId="3" fillId="0" borderId="3">
      <alignment horizontal="left" vertical="center"/>
    </xf>
    <xf numFmtId="0" fontId="3" fillId="0" borderId="4">
      <alignment horizontal="center" vertical="center"/>
    </xf>
    <xf numFmtId="0" fontId="5" fillId="0" borderId="5">
      <alignment horizontal="center" vertical="center"/>
    </xf>
    <xf numFmtId="0" fontId="4" fillId="3" borderId="2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4">
      <alignment horizontal="center" vertical="center"/>
    </xf>
    <xf numFmtId="0" fontId="3" fillId="0" borderId="4">
      <alignment horizontal="center" vertical="center"/>
    </xf>
    <xf numFmtId="3" fontId="4" fillId="0" borderId="2" applyFill="0" applyAlignment="0" applyProtection="0"/>
    <xf numFmtId="0" fontId="4" fillId="0" borderId="2" applyFill="0" applyAlignment="0" applyProtection="0"/>
    <xf numFmtId="3" fontId="3" fillId="4" borderId="6" applyNumberFormat="0" applyFont="0" applyAlignment="0" applyProtection="0"/>
    <xf numFmtId="0" fontId="1" fillId="5" borderId="7" applyNumberFormat="0" applyFont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3">
      <alignment horizontal="left" vertical="center"/>
    </xf>
    <xf numFmtId="3" fontId="3" fillId="0" borderId="1" applyFill="0" applyAlignment="0" applyProtection="0"/>
    <xf numFmtId="3" fontId="6" fillId="0" borderId="2"/>
    <xf numFmtId="3" fontId="7" fillId="0" borderId="2"/>
    <xf numFmtId="0" fontId="3" fillId="0" borderId="4">
      <alignment horizontal="left" vertical="top"/>
    </xf>
    <xf numFmtId="0" fontId="8" fillId="0" borderId="2"/>
    <xf numFmtId="0" fontId="3" fillId="0" borderId="4">
      <alignment horizontal="left" vertical="center"/>
    </xf>
    <xf numFmtId="0" fontId="4" fillId="2" borderId="8"/>
    <xf numFmtId="3" fontId="4" fillId="0" borderId="2">
      <alignment horizontal="right" vertical="center"/>
    </xf>
    <xf numFmtId="0" fontId="3" fillId="0" borderId="4">
      <alignment horizontal="right" vertical="center"/>
    </xf>
    <xf numFmtId="0" fontId="4" fillId="0" borderId="5">
      <alignment horizontal="center" vertical="center"/>
    </xf>
    <xf numFmtId="3" fontId="4" fillId="0" borderId="2"/>
    <xf numFmtId="3" fontId="4" fillId="0" borderId="2"/>
    <xf numFmtId="0" fontId="4" fillId="0" borderId="5">
      <alignment horizontal="center" vertical="center" wrapText="1"/>
    </xf>
    <xf numFmtId="0" fontId="9" fillId="0" borderId="5">
      <alignment horizontal="left" vertical="center" indent="1"/>
    </xf>
    <xf numFmtId="0" fontId="10" fillId="0" borderId="2"/>
    <xf numFmtId="0" fontId="3" fillId="0" borderId="3">
      <alignment horizontal="left" vertical="center"/>
    </xf>
    <xf numFmtId="3" fontId="4" fillId="0" borderId="2">
      <alignment horizontal="center" vertical="center"/>
    </xf>
    <xf numFmtId="0" fontId="3" fillId="0" borderId="4">
      <alignment horizontal="center" vertical="center"/>
    </xf>
    <xf numFmtId="0" fontId="3" fillId="0" borderId="4">
      <alignment horizontal="center" vertical="center"/>
    </xf>
    <xf numFmtId="0" fontId="3" fillId="0" borderId="3">
      <alignment horizontal="left" vertical="center"/>
    </xf>
    <xf numFmtId="0" fontId="3" fillId="0" borderId="3">
      <alignment horizontal="left" vertical="center"/>
    </xf>
    <xf numFmtId="0" fontId="11" fillId="0" borderId="2"/>
    <xf numFmtId="0" fontId="24" fillId="0" borderId="0"/>
    <xf numFmtId="168" fontId="1" fillId="0" borderId="0" applyFont="0" applyFill="0" applyBorder="0" applyAlignment="0" applyProtection="0"/>
  </cellStyleXfs>
  <cellXfs count="452">
    <xf numFmtId="0" fontId="0" fillId="0" borderId="0" xfId="0"/>
    <xf numFmtId="0" fontId="12" fillId="0" borderId="0" xfId="0" applyFont="1"/>
    <xf numFmtId="0" fontId="2" fillId="0" borderId="0" xfId="0" applyFont="1"/>
    <xf numFmtId="0" fontId="13" fillId="0" borderId="0" xfId="0" applyFont="1"/>
    <xf numFmtId="0" fontId="13" fillId="0" borderId="9" xfId="0" applyFont="1" applyBorder="1"/>
    <xf numFmtId="0" fontId="0" fillId="0" borderId="9" xfId="0" applyBorder="1"/>
    <xf numFmtId="0" fontId="14" fillId="0" borderId="0" xfId="0" applyFont="1"/>
    <xf numFmtId="0" fontId="15" fillId="0" borderId="0" xfId="75" applyFont="1" applyBorder="1">
      <alignment horizontal="left" vertical="center"/>
    </xf>
    <xf numFmtId="37" fontId="2" fillId="0" borderId="0" xfId="0" applyNumberFormat="1" applyFont="1" applyAlignment="1">
      <alignment vertical="center"/>
    </xf>
    <xf numFmtId="37" fontId="16" fillId="0" borderId="0" xfId="0" applyNumberFormat="1" applyFont="1" applyAlignment="1">
      <alignment vertical="center"/>
    </xf>
    <xf numFmtId="37" fontId="17" fillId="0" borderId="0" xfId="0" applyNumberFormat="1" applyFont="1" applyAlignment="1">
      <alignment vertical="center"/>
    </xf>
    <xf numFmtId="0" fontId="18" fillId="0" borderId="0" xfId="0" applyFont="1"/>
    <xf numFmtId="164" fontId="0" fillId="0" borderId="0" xfId="0" applyNumberFormat="1"/>
    <xf numFmtId="1" fontId="0" fillId="0" borderId="0" xfId="0" applyNumberFormat="1" applyAlignment="1">
      <alignment horizontal="left"/>
    </xf>
    <xf numFmtId="9" fontId="0" fillId="0" borderId="0" xfId="1" applyFont="1"/>
    <xf numFmtId="37" fontId="18" fillId="0" borderId="0" xfId="0" applyNumberFormat="1" applyFont="1" applyAlignment="1">
      <alignment vertical="center"/>
    </xf>
    <xf numFmtId="0" fontId="18" fillId="0" borderId="0" xfId="0" applyFont="1" applyAlignment="1">
      <alignment horizontal="left"/>
    </xf>
    <xf numFmtId="0" fontId="4" fillId="0" borderId="2" xfId="28" applyAlignment="1"/>
    <xf numFmtId="0" fontId="4" fillId="0" borderId="2" xfId="28" quotePrefix="1" applyAlignment="1"/>
    <xf numFmtId="3" fontId="4" fillId="0" borderId="2" xfId="66"/>
    <xf numFmtId="0" fontId="3" fillId="0" borderId="4" xfId="73" quotePrefix="1">
      <alignment horizontal="center" vertical="center"/>
    </xf>
    <xf numFmtId="0" fontId="3" fillId="0" borderId="3" xfId="75">
      <alignment horizontal="left" vertical="center"/>
    </xf>
    <xf numFmtId="0" fontId="3" fillId="0" borderId="3" xfId="75" quotePrefix="1" applyAlignment="1">
      <alignment horizontal="left" vertical="center" indent="1"/>
    </xf>
    <xf numFmtId="0" fontId="4" fillId="0" borderId="2" xfId="27" applyAlignment="1">
      <alignment horizontal="left"/>
    </xf>
    <xf numFmtId="0" fontId="0" fillId="0" borderId="0" xfId="0" quotePrefix="1"/>
    <xf numFmtId="0" fontId="19" fillId="0" borderId="0" xfId="0" applyFont="1"/>
    <xf numFmtId="0" fontId="20" fillId="0" borderId="10" xfId="0" quotePrefix="1" applyFont="1" applyBorder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24" fillId="0" borderId="0" xfId="77"/>
    <xf numFmtId="0" fontId="4" fillId="0" borderId="0" xfId="20" applyNumberFormat="1"/>
    <xf numFmtId="3" fontId="4" fillId="0" borderId="2" xfId="4"/>
    <xf numFmtId="0" fontId="4" fillId="0" borderId="0" xfId="21" applyNumberFormat="1"/>
    <xf numFmtId="3" fontId="4" fillId="0" borderId="2" xfId="5"/>
    <xf numFmtId="0" fontId="4" fillId="0" borderId="0" xfId="22" applyNumberFormat="1"/>
    <xf numFmtId="3" fontId="4" fillId="0" borderId="2" xfId="6"/>
    <xf numFmtId="0" fontId="4" fillId="0" borderId="0" xfId="23" applyNumberFormat="1"/>
    <xf numFmtId="3" fontId="4" fillId="0" borderId="2" xfId="7"/>
    <xf numFmtId="0" fontId="4" fillId="0" borderId="0" xfId="24" applyNumberFormat="1" applyBorder="1"/>
    <xf numFmtId="3" fontId="4" fillId="0" borderId="2" xfId="8"/>
    <xf numFmtId="0" fontId="4" fillId="0" borderId="0" xfId="25" applyNumberFormat="1" applyBorder="1"/>
    <xf numFmtId="3" fontId="4" fillId="0" borderId="2" xfId="9"/>
    <xf numFmtId="0" fontId="4" fillId="0" borderId="0" xfId="19" quotePrefix="1" applyNumberFormat="1"/>
    <xf numFmtId="0" fontId="4" fillId="0" borderId="0" xfId="19" applyNumberFormat="1"/>
    <xf numFmtId="0" fontId="3" fillId="0" borderId="1" xfId="11" applyNumberFormat="1"/>
    <xf numFmtId="3" fontId="4" fillId="0" borderId="2" xfId="3"/>
    <xf numFmtId="0" fontId="4" fillId="0" borderId="0" xfId="26" quotePrefix="1" applyNumberFormat="1" applyBorder="1"/>
    <xf numFmtId="0" fontId="4" fillId="0" borderId="0" xfId="26" applyNumberFormat="1" applyBorder="1"/>
    <xf numFmtId="0" fontId="3" fillId="0" borderId="1" xfId="18" applyNumberFormat="1"/>
    <xf numFmtId="3" fontId="4" fillId="0" borderId="2" xfId="10"/>
    <xf numFmtId="0" fontId="4" fillId="0" borderId="2" xfId="28" quotePrefix="1"/>
    <xf numFmtId="0" fontId="4" fillId="0" borderId="2" xfId="27"/>
    <xf numFmtId="0" fontId="25" fillId="0" borderId="11" xfId="0" applyFont="1" applyBorder="1" applyAlignment="1">
      <alignment horizontal="center"/>
    </xf>
    <xf numFmtId="0" fontId="26" fillId="0" borderId="0" xfId="0" applyFont="1"/>
    <xf numFmtId="0" fontId="27" fillId="0" borderId="0" xfId="0" applyFont="1" applyAlignment="1">
      <alignment horizontal="left" vertical="center" readingOrder="1"/>
    </xf>
    <xf numFmtId="49" fontId="25" fillId="0" borderId="11" xfId="0" applyNumberFormat="1" applyFont="1" applyBorder="1" applyAlignment="1">
      <alignment horizontal="center"/>
    </xf>
    <xf numFmtId="9" fontId="28" fillId="0" borderId="0" xfId="1" applyFont="1"/>
    <xf numFmtId="9" fontId="29" fillId="0" borderId="0" xfId="1" applyFont="1"/>
    <xf numFmtId="9" fontId="30" fillId="0" borderId="0" xfId="1" applyFont="1"/>
    <xf numFmtId="9" fontId="31" fillId="0" borderId="0" xfId="1" applyFont="1"/>
    <xf numFmtId="0" fontId="3" fillId="0" borderId="3" xfId="75" quotePrefix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2" fillId="0" borderId="0" xfId="0" applyFont="1" applyAlignment="1">
      <alignment horizontal="left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4" fillId="0" borderId="2" xfId="28" applyNumberFormat="1"/>
    <xf numFmtId="0" fontId="4" fillId="0" borderId="2" xfId="27" applyNumberFormat="1"/>
    <xf numFmtId="0" fontId="0" fillId="0" borderId="17" xfId="0" applyBorder="1"/>
    <xf numFmtId="0" fontId="3" fillId="0" borderId="17" xfId="73" applyBorder="1">
      <alignment horizontal="center" vertical="center"/>
    </xf>
    <xf numFmtId="0" fontId="0" fillId="0" borderId="18" xfId="0" applyBorder="1"/>
    <xf numFmtId="3" fontId="4" fillId="0" borderId="12" xfId="66" applyBorder="1"/>
    <xf numFmtId="0" fontId="35" fillId="0" borderId="0" xfId="73" quotePrefix="1" applyFont="1" applyBorder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5" fillId="0" borderId="17" xfId="73" quotePrefix="1" applyFont="1" applyBorder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5" fillId="0" borderId="18" xfId="73" quotePrefix="1" applyFont="1" applyBorder="1">
      <alignment horizontal="center" vertical="center"/>
    </xf>
    <xf numFmtId="3" fontId="0" fillId="0" borderId="0" xfId="0" applyNumberFormat="1"/>
    <xf numFmtId="0" fontId="37" fillId="0" borderId="0" xfId="0" applyFont="1"/>
    <xf numFmtId="37" fontId="38" fillId="6" borderId="0" xfId="0" applyNumberFormat="1" applyFont="1" applyFill="1" applyAlignment="1">
      <alignment vertical="center"/>
    </xf>
    <xf numFmtId="37" fontId="38" fillId="0" borderId="0" xfId="0" applyNumberFormat="1" applyFont="1" applyAlignment="1">
      <alignment horizontal="left" vertical="center"/>
    </xf>
    <xf numFmtId="37" fontId="38" fillId="0" borderId="0" xfId="0" applyNumberFormat="1" applyFont="1" applyAlignment="1">
      <alignment horizontal="center" vertical="center"/>
    </xf>
    <xf numFmtId="37" fontId="17" fillId="0" borderId="0" xfId="0" applyNumberFormat="1" applyFont="1" applyAlignment="1">
      <alignment horizontal="center" vertical="center"/>
    </xf>
    <xf numFmtId="37" fontId="38" fillId="0" borderId="0" xfId="0" applyNumberFormat="1" applyFont="1" applyAlignment="1">
      <alignment vertical="center"/>
    </xf>
    <xf numFmtId="37" fontId="39" fillId="0" borderId="0" xfId="0" applyNumberFormat="1" applyFont="1" applyAlignment="1">
      <alignment horizontal="center" vertical="center"/>
    </xf>
    <xf numFmtId="0" fontId="40" fillId="0" borderId="0" xfId="27" applyFont="1" applyBorder="1" applyAlignment="1">
      <alignment horizontal="left"/>
    </xf>
    <xf numFmtId="37" fontId="38" fillId="0" borderId="23" xfId="0" applyNumberFormat="1" applyFont="1" applyBorder="1" applyAlignment="1">
      <alignment vertical="center"/>
    </xf>
    <xf numFmtId="37" fontId="17" fillId="0" borderId="24" xfId="0" applyNumberFormat="1" applyFont="1" applyBorder="1" applyAlignment="1">
      <alignment horizontal="center" vertical="center"/>
    </xf>
    <xf numFmtId="37" fontId="17" fillId="0" borderId="25" xfId="0" applyNumberFormat="1" applyFont="1" applyBorder="1" applyAlignment="1">
      <alignment horizontal="center" vertical="center"/>
    </xf>
    <xf numFmtId="165" fontId="38" fillId="0" borderId="0" xfId="1" applyNumberFormat="1" applyFont="1" applyAlignment="1">
      <alignment vertical="center"/>
    </xf>
    <xf numFmtId="37" fontId="38" fillId="0" borderId="26" xfId="0" applyNumberFormat="1" applyFont="1" applyBorder="1" applyAlignment="1">
      <alignment vertical="center"/>
    </xf>
    <xf numFmtId="37" fontId="41" fillId="0" borderId="0" xfId="0" applyNumberFormat="1" applyFont="1" applyAlignment="1">
      <alignment horizontal="center" vertical="center"/>
    </xf>
    <xf numFmtId="37" fontId="42" fillId="0" borderId="0" xfId="0" applyNumberFormat="1" applyFont="1" applyAlignment="1">
      <alignment vertical="center"/>
    </xf>
    <xf numFmtId="37" fontId="44" fillId="6" borderId="24" xfId="0" applyNumberFormat="1" applyFont="1" applyFill="1" applyBorder="1" applyAlignment="1">
      <alignment horizontal="center" vertical="center"/>
    </xf>
    <xf numFmtId="37" fontId="44" fillId="6" borderId="25" xfId="0" applyNumberFormat="1" applyFont="1" applyFill="1" applyBorder="1" applyAlignment="1">
      <alignment horizontal="center" vertical="center"/>
    </xf>
    <xf numFmtId="37" fontId="44" fillId="0" borderId="0" xfId="0" applyNumberFormat="1" applyFont="1" applyAlignment="1">
      <alignment horizontal="center" vertical="center"/>
    </xf>
    <xf numFmtId="37" fontId="42" fillId="0" borderId="28" xfId="0" applyNumberFormat="1" applyFont="1" applyBorder="1" applyAlignment="1">
      <alignment vertical="center"/>
    </xf>
    <xf numFmtId="37" fontId="44" fillId="0" borderId="29" xfId="0" applyNumberFormat="1" applyFont="1" applyBorder="1" applyAlignment="1">
      <alignment horizontal="center" vertical="center"/>
    </xf>
    <xf numFmtId="37" fontId="17" fillId="0" borderId="28" xfId="0" applyNumberFormat="1" applyFont="1" applyBorder="1" applyAlignment="1">
      <alignment vertical="center"/>
    </xf>
    <xf numFmtId="9" fontId="17" fillId="0" borderId="28" xfId="1" applyFont="1" applyBorder="1" applyAlignment="1">
      <alignment vertical="center"/>
    </xf>
    <xf numFmtId="165" fontId="44" fillId="6" borderId="24" xfId="1" applyNumberFormat="1" applyFont="1" applyFill="1" applyBorder="1" applyAlignment="1">
      <alignment horizontal="center" vertical="center"/>
    </xf>
    <xf numFmtId="165" fontId="44" fillId="6" borderId="25" xfId="1" applyNumberFormat="1" applyFont="1" applyFill="1" applyBorder="1" applyAlignment="1">
      <alignment horizontal="center" vertical="center"/>
    </xf>
    <xf numFmtId="167" fontId="16" fillId="0" borderId="0" xfId="0" applyNumberFormat="1" applyFont="1" applyAlignment="1">
      <alignment vertical="center"/>
    </xf>
    <xf numFmtId="0" fontId="38" fillId="0" borderId="0" xfId="0" applyFont="1" applyAlignment="1">
      <alignment horizontal="center" vertical="center"/>
    </xf>
    <xf numFmtId="37" fontId="44" fillId="7" borderId="31" xfId="0" applyNumberFormat="1" applyFont="1" applyFill="1" applyBorder="1" applyAlignment="1">
      <alignment horizontal="center" vertical="center"/>
    </xf>
    <xf numFmtId="37" fontId="44" fillId="7" borderId="32" xfId="0" applyNumberFormat="1" applyFont="1" applyFill="1" applyBorder="1" applyAlignment="1">
      <alignment horizontal="center" vertical="center"/>
    </xf>
    <xf numFmtId="37" fontId="44" fillId="0" borderId="33" xfId="0" applyNumberFormat="1" applyFont="1" applyBorder="1" applyAlignment="1">
      <alignment horizontal="center" vertical="center"/>
    </xf>
    <xf numFmtId="37" fontId="44" fillId="0" borderId="34" xfId="0" applyNumberFormat="1" applyFont="1" applyBorder="1" applyAlignment="1">
      <alignment horizontal="center" vertical="center"/>
    </xf>
    <xf numFmtId="165" fontId="44" fillId="7" borderId="31" xfId="1" applyNumberFormat="1" applyFont="1" applyFill="1" applyBorder="1" applyAlignment="1">
      <alignment horizontal="center" vertical="center"/>
    </xf>
    <xf numFmtId="165" fontId="44" fillId="7" borderId="32" xfId="1" applyNumberFormat="1" applyFont="1" applyFill="1" applyBorder="1" applyAlignment="1">
      <alignment horizontal="center" vertical="center"/>
    </xf>
    <xf numFmtId="37" fontId="38" fillId="0" borderId="35" xfId="0" applyNumberFormat="1" applyFont="1" applyBorder="1" applyAlignment="1">
      <alignment vertical="center"/>
    </xf>
    <xf numFmtId="37" fontId="45" fillId="0" borderId="31" xfId="78" applyNumberFormat="1" applyFont="1" applyBorder="1" applyAlignment="1">
      <alignment horizontal="center" vertical="center"/>
    </xf>
    <xf numFmtId="37" fontId="39" fillId="0" borderId="31" xfId="0" applyNumberFormat="1" applyFont="1" applyBorder="1" applyAlignment="1">
      <alignment horizontal="center" vertical="center"/>
    </xf>
    <xf numFmtId="37" fontId="39" fillId="0" borderId="32" xfId="0" applyNumberFormat="1" applyFont="1" applyBorder="1" applyAlignment="1">
      <alignment horizontal="center" vertical="center"/>
    </xf>
    <xf numFmtId="37" fontId="39" fillId="0" borderId="33" xfId="0" applyNumberFormat="1" applyFont="1" applyBorder="1" applyAlignment="1">
      <alignment horizontal="center" vertical="center"/>
    </xf>
    <xf numFmtId="165" fontId="39" fillId="0" borderId="32" xfId="1" applyNumberFormat="1" applyFont="1" applyBorder="1" applyAlignment="1">
      <alignment horizontal="center" vertical="center"/>
    </xf>
    <xf numFmtId="37" fontId="38" fillId="0" borderId="24" xfId="0" applyNumberFormat="1" applyFont="1" applyBorder="1" applyAlignment="1">
      <alignment vertical="center"/>
    </xf>
    <xf numFmtId="37" fontId="42" fillId="0" borderId="24" xfId="0" applyNumberFormat="1" applyFont="1" applyBorder="1" applyAlignment="1">
      <alignment horizontal="center" vertical="center"/>
    </xf>
    <xf numFmtId="37" fontId="39" fillId="0" borderId="36" xfId="0" applyNumberFormat="1" applyFont="1" applyBorder="1" applyAlignment="1">
      <alignment horizontal="center" vertical="center"/>
    </xf>
    <xf numFmtId="37" fontId="39" fillId="0" borderId="24" xfId="0" applyNumberFormat="1" applyFont="1" applyBorder="1" applyAlignment="1">
      <alignment horizontal="center" vertical="center"/>
    </xf>
    <xf numFmtId="37" fontId="17" fillId="0" borderId="24" xfId="0" applyNumberFormat="1" applyFont="1" applyBorder="1" applyAlignment="1">
      <alignment vertical="center"/>
    </xf>
    <xf numFmtId="37" fontId="17" fillId="0" borderId="33" xfId="0" applyNumberFormat="1" applyFont="1" applyBorder="1" applyAlignment="1">
      <alignment vertical="center"/>
    </xf>
    <xf numFmtId="37" fontId="17" fillId="0" borderId="33" xfId="0" applyNumberFormat="1" applyFont="1" applyBorder="1" applyAlignment="1">
      <alignment horizontal="center" vertical="center"/>
    </xf>
    <xf numFmtId="37" fontId="41" fillId="0" borderId="33" xfId="0" applyNumberFormat="1" applyFont="1" applyBorder="1" applyAlignment="1">
      <alignment horizontal="center" vertical="center"/>
    </xf>
    <xf numFmtId="165" fontId="44" fillId="0" borderId="0" xfId="1" applyNumberFormat="1" applyFont="1" applyFill="1" applyBorder="1" applyAlignment="1">
      <alignment horizontal="center" vertical="center"/>
    </xf>
    <xf numFmtId="37" fontId="17" fillId="0" borderId="28" xfId="0" applyNumberFormat="1" applyFont="1" applyBorder="1" applyAlignment="1">
      <alignment horizontal="center" vertical="center"/>
    </xf>
    <xf numFmtId="37" fontId="44" fillId="0" borderId="37" xfId="0" applyNumberFormat="1" applyFont="1" applyBorder="1" applyAlignment="1">
      <alignment horizontal="center" vertical="center"/>
    </xf>
    <xf numFmtId="37" fontId="17" fillId="0" borderId="38" xfId="0" applyNumberFormat="1" applyFont="1" applyBorder="1" applyAlignment="1">
      <alignment vertical="center"/>
    </xf>
    <xf numFmtId="37" fontId="38" fillId="0" borderId="0" xfId="1" applyNumberFormat="1" applyFont="1" applyAlignment="1">
      <alignment vertical="center"/>
    </xf>
    <xf numFmtId="165" fontId="44" fillId="0" borderId="33" xfId="1" applyNumberFormat="1" applyFont="1" applyFill="1" applyBorder="1" applyAlignment="1">
      <alignment horizontal="center" vertical="center"/>
    </xf>
    <xf numFmtId="165" fontId="39" fillId="0" borderId="33" xfId="1" applyNumberFormat="1" applyFont="1" applyFill="1" applyBorder="1" applyAlignment="1">
      <alignment horizontal="center" vertical="center"/>
    </xf>
    <xf numFmtId="37" fontId="38" fillId="0" borderId="33" xfId="0" applyNumberFormat="1" applyFont="1" applyBorder="1" applyAlignment="1">
      <alignment horizontal="center" vertical="center"/>
    </xf>
    <xf numFmtId="37" fontId="17" fillId="0" borderId="39" xfId="0" applyNumberFormat="1" applyFont="1" applyBorder="1" applyAlignment="1">
      <alignment vertical="center"/>
    </xf>
    <xf numFmtId="9" fontId="17" fillId="0" borderId="0" xfId="1" applyFont="1" applyAlignment="1">
      <alignment vertical="center"/>
    </xf>
    <xf numFmtId="37" fontId="44" fillId="0" borderId="40" xfId="0" applyNumberFormat="1" applyFont="1" applyBorder="1" applyAlignment="1">
      <alignment horizontal="center" vertical="center"/>
    </xf>
    <xf numFmtId="37" fontId="17" fillId="0" borderId="41" xfId="0" applyNumberFormat="1" applyFont="1" applyBorder="1" applyAlignment="1">
      <alignment horizontal="center" vertical="center"/>
    </xf>
    <xf numFmtId="37" fontId="38" fillId="0" borderId="24" xfId="0" applyNumberFormat="1" applyFont="1" applyBorder="1" applyAlignment="1">
      <alignment horizontal="left" vertical="center"/>
    </xf>
    <xf numFmtId="37" fontId="38" fillId="0" borderId="24" xfId="0" applyNumberFormat="1" applyFont="1" applyBorder="1" applyAlignment="1">
      <alignment horizontal="center" vertical="center"/>
    </xf>
    <xf numFmtId="37" fontId="17" fillId="9" borderId="0" xfId="0" applyNumberFormat="1" applyFont="1" applyFill="1" applyAlignment="1">
      <alignment horizontal="center" vertical="center"/>
    </xf>
    <xf numFmtId="37" fontId="44" fillId="7" borderId="13" xfId="0" applyNumberFormat="1" applyFont="1" applyFill="1" applyBorder="1" applyAlignment="1">
      <alignment horizontal="center" vertical="center"/>
    </xf>
    <xf numFmtId="4" fontId="45" fillId="0" borderId="31" xfId="78" applyNumberFormat="1" applyFont="1" applyBorder="1" applyAlignment="1">
      <alignment horizontal="center" vertical="center"/>
    </xf>
    <xf numFmtId="165" fontId="39" fillId="0" borderId="31" xfId="1" applyNumberFormat="1" applyFont="1" applyBorder="1" applyAlignment="1">
      <alignment horizontal="center" vertical="center"/>
    </xf>
    <xf numFmtId="37" fontId="42" fillId="0" borderId="0" xfId="0" applyNumberFormat="1" applyFont="1" applyAlignment="1">
      <alignment horizontal="center" vertical="center"/>
    </xf>
    <xf numFmtId="37" fontId="42" fillId="0" borderId="41" xfId="0" applyNumberFormat="1" applyFont="1" applyBorder="1" applyAlignment="1">
      <alignment vertical="center"/>
    </xf>
    <xf numFmtId="167" fontId="39" fillId="0" borderId="31" xfId="0" applyNumberFormat="1" applyFont="1" applyBorder="1" applyAlignment="1">
      <alignment horizontal="center" vertical="center"/>
    </xf>
    <xf numFmtId="37" fontId="0" fillId="0" borderId="0" xfId="0" applyNumberFormat="1"/>
    <xf numFmtId="37" fontId="38" fillId="0" borderId="33" xfId="0" applyNumberFormat="1" applyFont="1" applyBorder="1" applyAlignment="1">
      <alignment vertical="center"/>
    </xf>
    <xf numFmtId="37" fontId="42" fillId="0" borderId="28" xfId="0" applyNumberFormat="1" applyFont="1" applyBorder="1" applyAlignment="1">
      <alignment horizontal="center" vertical="center"/>
    </xf>
    <xf numFmtId="9" fontId="44" fillId="6" borderId="24" xfId="1" applyFont="1" applyFill="1" applyBorder="1" applyAlignment="1">
      <alignment horizontal="center" vertical="center"/>
    </xf>
    <xf numFmtId="9" fontId="44" fillId="6" borderId="25" xfId="1" applyFont="1" applyFill="1" applyBorder="1" applyAlignment="1">
      <alignment horizontal="center" vertical="center"/>
    </xf>
    <xf numFmtId="9" fontId="44" fillId="0" borderId="33" xfId="1" applyFont="1" applyFill="1" applyBorder="1" applyAlignment="1">
      <alignment horizontal="center" vertical="center"/>
    </xf>
    <xf numFmtId="37" fontId="17" fillId="0" borderId="49" xfId="0" applyNumberFormat="1" applyFont="1" applyBorder="1" applyAlignment="1">
      <alignment vertical="center"/>
    </xf>
    <xf numFmtId="37" fontId="38" fillId="0" borderId="50" xfId="0" applyNumberFormat="1" applyFont="1" applyBorder="1" applyAlignment="1">
      <alignment vertical="center"/>
    </xf>
    <xf numFmtId="9" fontId="44" fillId="7" borderId="31" xfId="1" applyFont="1" applyFill="1" applyBorder="1" applyAlignment="1">
      <alignment horizontal="center" vertical="center"/>
    </xf>
    <xf numFmtId="9" fontId="44" fillId="7" borderId="32" xfId="1" applyFont="1" applyFill="1" applyBorder="1" applyAlignment="1">
      <alignment horizontal="center" vertical="center"/>
    </xf>
    <xf numFmtId="9" fontId="44" fillId="0" borderId="0" xfId="1" applyFont="1" applyFill="1" applyBorder="1" applyAlignment="1">
      <alignment horizontal="center" vertical="center"/>
    </xf>
    <xf numFmtId="37" fontId="17" fillId="0" borderId="51" xfId="0" applyNumberFormat="1" applyFont="1" applyBorder="1" applyAlignment="1">
      <alignment horizontal="center" vertical="center"/>
    </xf>
    <xf numFmtId="9" fontId="39" fillId="0" borderId="31" xfId="1" applyFont="1" applyBorder="1" applyAlignment="1">
      <alignment horizontal="center" vertical="center"/>
    </xf>
    <xf numFmtId="9" fontId="39" fillId="0" borderId="32" xfId="1" applyFont="1" applyBorder="1" applyAlignment="1">
      <alignment horizontal="center" vertical="center"/>
    </xf>
    <xf numFmtId="9" fontId="39" fillId="0" borderId="0" xfId="1" applyFont="1" applyFill="1" applyBorder="1" applyAlignment="1">
      <alignment horizontal="center" vertical="center"/>
    </xf>
    <xf numFmtId="37" fontId="48" fillId="0" borderId="0" xfId="0" applyNumberFormat="1" applyFont="1" applyAlignment="1">
      <alignment horizontal="center" vertical="center"/>
    </xf>
    <xf numFmtId="37" fontId="48" fillId="6" borderId="23" xfId="0" applyNumberFormat="1" applyFont="1" applyFill="1" applyBorder="1" applyAlignment="1">
      <alignment horizontal="center" vertical="center"/>
    </xf>
    <xf numFmtId="37" fontId="49" fillId="6" borderId="24" xfId="0" applyNumberFormat="1" applyFont="1" applyFill="1" applyBorder="1" applyAlignment="1">
      <alignment horizontal="left" vertical="center"/>
    </xf>
    <xf numFmtId="37" fontId="48" fillId="6" borderId="24" xfId="0" applyNumberFormat="1" applyFont="1" applyFill="1" applyBorder="1" applyAlignment="1">
      <alignment horizontal="left" vertical="center"/>
    </xf>
    <xf numFmtId="37" fontId="49" fillId="6" borderId="25" xfId="0" applyNumberFormat="1" applyFont="1" applyFill="1" applyBorder="1" applyAlignment="1">
      <alignment horizontal="left" vertical="center"/>
    </xf>
    <xf numFmtId="37" fontId="49" fillId="0" borderId="0" xfId="0" applyNumberFormat="1" applyFont="1" applyAlignment="1">
      <alignment horizontal="left" vertical="center"/>
    </xf>
    <xf numFmtId="37" fontId="48" fillId="7" borderId="35" xfId="0" applyNumberFormat="1" applyFont="1" applyFill="1" applyBorder="1" applyAlignment="1">
      <alignment horizontal="center" vertical="center"/>
    </xf>
    <xf numFmtId="37" fontId="49" fillId="7" borderId="31" xfId="0" applyNumberFormat="1" applyFont="1" applyFill="1" applyBorder="1" applyAlignment="1">
      <alignment horizontal="left" vertical="center"/>
    </xf>
    <xf numFmtId="37" fontId="48" fillId="7" borderId="31" xfId="0" applyNumberFormat="1" applyFont="1" applyFill="1" applyBorder="1" applyAlignment="1">
      <alignment horizontal="left" vertical="center"/>
    </xf>
    <xf numFmtId="37" fontId="49" fillId="7" borderId="32" xfId="0" applyNumberFormat="1" applyFont="1" applyFill="1" applyBorder="1" applyAlignment="1">
      <alignment horizontal="left" vertical="center"/>
    </xf>
    <xf numFmtId="37" fontId="38" fillId="0" borderId="0" xfId="78" applyNumberFormat="1" applyFont="1" applyAlignment="1">
      <alignment vertical="center"/>
    </xf>
    <xf numFmtId="0" fontId="39" fillId="11" borderId="0" xfId="0" applyFont="1" applyFill="1" applyAlignment="1">
      <alignment horizontal="center" vertical="center"/>
    </xf>
    <xf numFmtId="0" fontId="39" fillId="6" borderId="52" xfId="0" applyFont="1" applyFill="1" applyBorder="1" applyAlignment="1">
      <alignment horizontal="left" vertical="center"/>
    </xf>
    <xf numFmtId="0" fontId="39" fillId="0" borderId="52" xfId="0" applyFont="1" applyBorder="1" applyAlignment="1">
      <alignment horizontal="left" vertical="center"/>
    </xf>
    <xf numFmtId="0" fontId="39" fillId="12" borderId="0" xfId="0" applyFont="1" applyFill="1" applyAlignment="1">
      <alignment horizontal="center" vertical="center"/>
    </xf>
    <xf numFmtId="0" fontId="44" fillId="0" borderId="52" xfId="0" applyFont="1" applyBorder="1" applyAlignment="1">
      <alignment horizontal="left" vertical="center"/>
    </xf>
    <xf numFmtId="166" fontId="44" fillId="0" borderId="0" xfId="0" applyNumberFormat="1" applyFont="1" applyAlignment="1">
      <alignment horizontal="center" vertical="center"/>
    </xf>
    <xf numFmtId="0" fontId="39" fillId="8" borderId="0" xfId="0" applyFont="1" applyFill="1" applyAlignment="1">
      <alignment horizontal="center" vertical="center"/>
    </xf>
    <xf numFmtId="37" fontId="38" fillId="0" borderId="0" xfId="0" quotePrefix="1" applyNumberFormat="1" applyFont="1" applyAlignment="1">
      <alignment horizontal="left" vertical="center"/>
    </xf>
    <xf numFmtId="0" fontId="35" fillId="0" borderId="0" xfId="75" applyFont="1" applyBorder="1">
      <alignment horizontal="left" vertical="center"/>
    </xf>
    <xf numFmtId="0" fontId="3" fillId="0" borderId="3" xfId="75" quotePrefix="1" applyAlignment="1">
      <alignment horizontal="left" vertical="center" indent="2"/>
    </xf>
    <xf numFmtId="0" fontId="50" fillId="0" borderId="0" xfId="0" applyFont="1" applyAlignment="1">
      <alignment horizontal="left"/>
    </xf>
    <xf numFmtId="0" fontId="27" fillId="0" borderId="0" xfId="0" applyFont="1" applyAlignment="1">
      <alignment horizontal="left" readingOrder="1"/>
    </xf>
    <xf numFmtId="0" fontId="3" fillId="0" borderId="55" xfId="2" quotePrefix="1" applyBorder="1">
      <alignment horizontal="center" vertical="center"/>
    </xf>
    <xf numFmtId="0" fontId="3" fillId="0" borderId="56" xfId="2" quotePrefix="1" applyBorder="1">
      <alignment horizontal="center" vertical="center"/>
    </xf>
    <xf numFmtId="49" fontId="4" fillId="0" borderId="57" xfId="26" applyNumberFormat="1" applyBorder="1" applyAlignment="1"/>
    <xf numFmtId="3" fontId="4" fillId="0" borderId="58" xfId="10" applyBorder="1"/>
    <xf numFmtId="0" fontId="0" fillId="0" borderId="57" xfId="0" applyBorder="1"/>
    <xf numFmtId="0" fontId="0" fillId="0" borderId="59" xfId="0" applyBorder="1"/>
    <xf numFmtId="0" fontId="25" fillId="0" borderId="60" xfId="0" applyFont="1" applyBorder="1" applyAlignment="1">
      <alignment horizontal="center"/>
    </xf>
    <xf numFmtId="3" fontId="4" fillId="0" borderId="61" xfId="10" applyBorder="1"/>
    <xf numFmtId="3" fontId="4" fillId="0" borderId="62" xfId="10" applyBorder="1"/>
    <xf numFmtId="0" fontId="4" fillId="0" borderId="63" xfId="28" quotePrefix="1" applyBorder="1" applyAlignment="1"/>
    <xf numFmtId="0" fontId="35" fillId="0" borderId="63" xfId="26" applyNumberFormat="1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36" fillId="0" borderId="65" xfId="0" applyFont="1" applyBorder="1" applyAlignment="1">
      <alignment horizontal="center" vertical="center"/>
    </xf>
    <xf numFmtId="0" fontId="35" fillId="0" borderId="64" xfId="26" applyNumberFormat="1" applyFont="1" applyBorder="1" applyAlignment="1">
      <alignment horizontal="center" vertical="center"/>
    </xf>
    <xf numFmtId="0" fontId="36" fillId="0" borderId="66" xfId="0" applyFont="1" applyBorder="1" applyAlignment="1">
      <alignment horizontal="center" vertical="center"/>
    </xf>
    <xf numFmtId="0" fontId="4" fillId="0" borderId="57" xfId="26" applyNumberFormat="1" applyBorder="1"/>
    <xf numFmtId="0" fontId="35" fillId="0" borderId="67" xfId="73" quotePrefix="1" applyFont="1" applyBorder="1">
      <alignment horizontal="center" vertical="center"/>
    </xf>
    <xf numFmtId="0" fontId="36" fillId="0" borderId="68" xfId="0" applyFont="1" applyBorder="1" applyAlignment="1">
      <alignment horizontal="center" vertical="center"/>
    </xf>
    <xf numFmtId="3" fontId="4" fillId="0" borderId="69" xfId="66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3" fontId="4" fillId="0" borderId="73" xfId="66" applyBorder="1"/>
    <xf numFmtId="0" fontId="0" fillId="0" borderId="74" xfId="0" applyBorder="1"/>
    <xf numFmtId="0" fontId="36" fillId="0" borderId="53" xfId="0" applyFont="1" applyBorder="1"/>
    <xf numFmtId="0" fontId="0" fillId="0" borderId="65" xfId="0" applyBorder="1"/>
    <xf numFmtId="0" fontId="36" fillId="13" borderId="20" xfId="0" applyFont="1" applyFill="1" applyBorder="1"/>
    <xf numFmtId="0" fontId="35" fillId="13" borderId="21" xfId="27" applyFont="1" applyFill="1" applyBorder="1"/>
    <xf numFmtId="0" fontId="0" fillId="13" borderId="21" xfId="0" applyFill="1" applyBorder="1"/>
    <xf numFmtId="49" fontId="35" fillId="13" borderId="22" xfId="18" applyNumberFormat="1" applyFont="1" applyFill="1" applyBorder="1" applyAlignment="1"/>
    <xf numFmtId="37" fontId="41" fillId="7" borderId="23" xfId="0" applyNumberFormat="1" applyFont="1" applyFill="1" applyBorder="1" applyAlignment="1">
      <alignment vertical="center"/>
    </xf>
    <xf numFmtId="37" fontId="41" fillId="7" borderId="24" xfId="0" applyNumberFormat="1" applyFont="1" applyFill="1" applyBorder="1" applyAlignment="1">
      <alignment vertical="center"/>
    </xf>
    <xf numFmtId="37" fontId="41" fillId="7" borderId="25" xfId="0" applyNumberFormat="1" applyFont="1" applyFill="1" applyBorder="1" applyAlignment="1">
      <alignment vertical="center"/>
    </xf>
    <xf numFmtId="0" fontId="53" fillId="0" borderId="0" xfId="0" applyFont="1"/>
    <xf numFmtId="0" fontId="53" fillId="14" borderId="17" xfId="0" applyFont="1" applyFill="1" applyBorder="1"/>
    <xf numFmtId="0" fontId="53" fillId="8" borderId="0" xfId="0" applyFont="1" applyFill="1"/>
    <xf numFmtId="0" fontId="53" fillId="8" borderId="17" xfId="0" applyFont="1" applyFill="1" applyBorder="1"/>
    <xf numFmtId="0" fontId="53" fillId="15" borderId="0" xfId="0" applyFont="1" applyFill="1"/>
    <xf numFmtId="0" fontId="53" fillId="8" borderId="81" xfId="0" applyFont="1" applyFill="1" applyBorder="1"/>
    <xf numFmtId="0" fontId="53" fillId="17" borderId="86" xfId="0" applyFont="1" applyFill="1" applyBorder="1"/>
    <xf numFmtId="0" fontId="53" fillId="8" borderId="94" xfId="0" applyFont="1" applyFill="1" applyBorder="1"/>
    <xf numFmtId="0" fontId="53" fillId="14" borderId="94" xfId="0" applyFont="1" applyFill="1" applyBorder="1"/>
    <xf numFmtId="0" fontId="53" fillId="17" borderId="87" xfId="0" applyFont="1" applyFill="1" applyBorder="1"/>
    <xf numFmtId="0" fontId="53" fillId="17" borderId="88" xfId="0" applyFont="1" applyFill="1" applyBorder="1"/>
    <xf numFmtId="0" fontId="53" fillId="14" borderId="15" xfId="0" applyFont="1" applyFill="1" applyBorder="1"/>
    <xf numFmtId="0" fontId="53" fillId="8" borderId="13" xfId="0" applyFont="1" applyFill="1" applyBorder="1"/>
    <xf numFmtId="0" fontId="53" fillId="0" borderId="13" xfId="0" applyFont="1" applyBorder="1"/>
    <xf numFmtId="0" fontId="53" fillId="0" borderId="12" xfId="0" applyFont="1" applyBorder="1"/>
    <xf numFmtId="0" fontId="53" fillId="8" borderId="15" xfId="0" applyFont="1" applyFill="1" applyBorder="1"/>
    <xf numFmtId="0" fontId="53" fillId="8" borderId="83" xfId="0" applyFont="1" applyFill="1" applyBorder="1"/>
    <xf numFmtId="0" fontId="53" fillId="17" borderId="89" xfId="0" applyFont="1" applyFill="1" applyBorder="1"/>
    <xf numFmtId="0" fontId="53" fillId="14" borderId="95" xfId="0" applyFont="1" applyFill="1" applyBorder="1"/>
    <xf numFmtId="0" fontId="53" fillId="8" borderId="95" xfId="0" applyFont="1" applyFill="1" applyBorder="1"/>
    <xf numFmtId="0" fontId="53" fillId="17" borderId="0" xfId="0" applyFont="1" applyFill="1"/>
    <xf numFmtId="0" fontId="53" fillId="17" borderId="90" xfId="0" applyFont="1" applyFill="1" applyBorder="1"/>
    <xf numFmtId="0" fontId="53" fillId="0" borderId="75" xfId="0" applyFont="1" applyBorder="1"/>
    <xf numFmtId="0" fontId="53" fillId="0" borderId="42" xfId="0" applyFont="1" applyBorder="1"/>
    <xf numFmtId="0" fontId="53" fillId="0" borderId="19" xfId="0" applyFont="1" applyBorder="1"/>
    <xf numFmtId="0" fontId="53" fillId="0" borderId="16" xfId="0" applyFont="1" applyBorder="1"/>
    <xf numFmtId="0" fontId="53" fillId="17" borderId="102" xfId="0" applyFont="1" applyFill="1" applyBorder="1"/>
    <xf numFmtId="0" fontId="53" fillId="0" borderId="15" xfId="0" applyFont="1" applyBorder="1"/>
    <xf numFmtId="0" fontId="53" fillId="0" borderId="14" xfId="0" applyFont="1" applyBorder="1"/>
    <xf numFmtId="0" fontId="53" fillId="16" borderId="17" xfId="0" applyFont="1" applyFill="1" applyBorder="1"/>
    <xf numFmtId="0" fontId="53" fillId="16" borderId="0" xfId="0" applyFont="1" applyFill="1"/>
    <xf numFmtId="0" fontId="53" fillId="16" borderId="96" xfId="0" applyFont="1" applyFill="1" applyBorder="1"/>
    <xf numFmtId="0" fontId="53" fillId="16" borderId="44" xfId="0" applyFont="1" applyFill="1" applyBorder="1"/>
    <xf numFmtId="0" fontId="53" fillId="16" borderId="15" xfId="0" applyFont="1" applyFill="1" applyBorder="1"/>
    <xf numFmtId="0" fontId="53" fillId="16" borderId="13" xfId="0" applyFont="1" applyFill="1" applyBorder="1"/>
    <xf numFmtId="0" fontId="53" fillId="16" borderId="95" xfId="0" applyFont="1" applyFill="1" applyBorder="1"/>
    <xf numFmtId="0" fontId="53" fillId="14" borderId="0" xfId="0" applyFont="1" applyFill="1"/>
    <xf numFmtId="0" fontId="53" fillId="14" borderId="84" xfId="0" applyFont="1" applyFill="1" applyBorder="1"/>
    <xf numFmtId="0" fontId="52" fillId="17" borderId="0" xfId="0" applyFont="1" applyFill="1"/>
    <xf numFmtId="0" fontId="53" fillId="14" borderId="97" xfId="0" applyFont="1" applyFill="1" applyBorder="1"/>
    <xf numFmtId="0" fontId="53" fillId="17" borderId="101" xfId="0" applyFont="1" applyFill="1" applyBorder="1"/>
    <xf numFmtId="0" fontId="53" fillId="14" borderId="98" xfId="0" applyFont="1" applyFill="1" applyBorder="1"/>
    <xf numFmtId="0" fontId="53" fillId="14" borderId="85" xfId="0" applyFont="1" applyFill="1" applyBorder="1"/>
    <xf numFmtId="0" fontId="53" fillId="17" borderId="103" xfId="0" applyFont="1" applyFill="1" applyBorder="1"/>
    <xf numFmtId="0" fontId="53" fillId="16" borderId="94" xfId="0" applyFont="1" applyFill="1" applyBorder="1"/>
    <xf numFmtId="0" fontId="53" fillId="16" borderId="97" xfId="0" applyFont="1" applyFill="1" applyBorder="1"/>
    <xf numFmtId="0" fontId="53" fillId="17" borderId="91" xfId="0" applyFont="1" applyFill="1" applyBorder="1"/>
    <xf numFmtId="0" fontId="53" fillId="17" borderId="92" xfId="0" applyFont="1" applyFill="1" applyBorder="1"/>
    <xf numFmtId="0" fontId="53" fillId="17" borderId="93" xfId="0" applyFont="1" applyFill="1" applyBorder="1"/>
    <xf numFmtId="37" fontId="53" fillId="0" borderId="0" xfId="0" applyNumberFormat="1" applyFont="1"/>
    <xf numFmtId="37" fontId="53" fillId="14" borderId="17" xfId="0" applyNumberFormat="1" applyFont="1" applyFill="1" applyBorder="1"/>
    <xf numFmtId="37" fontId="53" fillId="8" borderId="0" xfId="0" applyNumberFormat="1" applyFont="1" applyFill="1"/>
    <xf numFmtId="37" fontId="53" fillId="8" borderId="17" xfId="0" applyNumberFormat="1" applyFont="1" applyFill="1" applyBorder="1"/>
    <xf numFmtId="37" fontId="53" fillId="15" borderId="0" xfId="0" applyNumberFormat="1" applyFont="1" applyFill="1"/>
    <xf numFmtId="37" fontId="53" fillId="8" borderId="81" xfId="0" applyNumberFormat="1" applyFont="1" applyFill="1" applyBorder="1"/>
    <xf numFmtId="37" fontId="53" fillId="17" borderId="86" xfId="0" applyNumberFormat="1" applyFont="1" applyFill="1" applyBorder="1"/>
    <xf numFmtId="37" fontId="53" fillId="8" borderId="94" xfId="0" applyNumberFormat="1" applyFont="1" applyFill="1" applyBorder="1"/>
    <xf numFmtId="37" fontId="53" fillId="14" borderId="94" xfId="0" applyNumberFormat="1" applyFont="1" applyFill="1" applyBorder="1"/>
    <xf numFmtId="37" fontId="53" fillId="17" borderId="87" xfId="0" applyNumberFormat="1" applyFont="1" applyFill="1" applyBorder="1"/>
    <xf numFmtId="37" fontId="53" fillId="17" borderId="88" xfId="0" applyNumberFormat="1" applyFont="1" applyFill="1" applyBorder="1"/>
    <xf numFmtId="37" fontId="53" fillId="14" borderId="15" xfId="0" applyNumberFormat="1" applyFont="1" applyFill="1" applyBorder="1"/>
    <xf numFmtId="37" fontId="53" fillId="8" borderId="13" xfId="0" applyNumberFormat="1" applyFont="1" applyFill="1" applyBorder="1"/>
    <xf numFmtId="37" fontId="53" fillId="0" borderId="13" xfId="0" applyNumberFormat="1" applyFont="1" applyBorder="1"/>
    <xf numFmtId="37" fontId="53" fillId="0" borderId="12" xfId="0" applyNumberFormat="1" applyFont="1" applyBorder="1"/>
    <xf numFmtId="37" fontId="53" fillId="8" borderId="15" xfId="0" applyNumberFormat="1" applyFont="1" applyFill="1" applyBorder="1"/>
    <xf numFmtId="37" fontId="53" fillId="8" borderId="83" xfId="0" applyNumberFormat="1" applyFont="1" applyFill="1" applyBorder="1"/>
    <xf numFmtId="37" fontId="53" fillId="17" borderId="89" xfId="0" applyNumberFormat="1" applyFont="1" applyFill="1" applyBorder="1"/>
    <xf numFmtId="37" fontId="53" fillId="14" borderId="95" xfId="0" applyNumberFormat="1" applyFont="1" applyFill="1" applyBorder="1"/>
    <xf numFmtId="37" fontId="53" fillId="8" borderId="95" xfId="0" applyNumberFormat="1" applyFont="1" applyFill="1" applyBorder="1"/>
    <xf numFmtId="37" fontId="53" fillId="17" borderId="0" xfId="0" applyNumberFormat="1" applyFont="1" applyFill="1"/>
    <xf numFmtId="37" fontId="53" fillId="17" borderId="90" xfId="0" applyNumberFormat="1" applyFont="1" applyFill="1" applyBorder="1"/>
    <xf numFmtId="37" fontId="53" fillId="0" borderId="75" xfId="0" applyNumberFormat="1" applyFont="1" applyBorder="1"/>
    <xf numFmtId="37" fontId="53" fillId="0" borderId="42" xfId="0" applyNumberFormat="1" applyFont="1" applyBorder="1"/>
    <xf numFmtId="37" fontId="53" fillId="0" borderId="19" xfId="0" applyNumberFormat="1" applyFont="1" applyBorder="1"/>
    <xf numFmtId="37" fontId="53" fillId="0" borderId="16" xfId="0" applyNumberFormat="1" applyFont="1" applyBorder="1"/>
    <xf numFmtId="37" fontId="53" fillId="17" borderId="102" xfId="0" applyNumberFormat="1" applyFont="1" applyFill="1" applyBorder="1"/>
    <xf numFmtId="37" fontId="53" fillId="0" borderId="15" xfId="0" applyNumberFormat="1" applyFont="1" applyBorder="1"/>
    <xf numFmtId="37" fontId="53" fillId="0" borderId="14" xfId="0" applyNumberFormat="1" applyFont="1" applyBorder="1"/>
    <xf numFmtId="37" fontId="53" fillId="16" borderId="17" xfId="0" applyNumberFormat="1" applyFont="1" applyFill="1" applyBorder="1"/>
    <xf numFmtId="37" fontId="53" fillId="16" borderId="0" xfId="0" applyNumberFormat="1" applyFont="1" applyFill="1"/>
    <xf numFmtId="37" fontId="53" fillId="16" borderId="96" xfId="0" applyNumberFormat="1" applyFont="1" applyFill="1" applyBorder="1"/>
    <xf numFmtId="37" fontId="53" fillId="16" borderId="44" xfId="0" applyNumberFormat="1" applyFont="1" applyFill="1" applyBorder="1"/>
    <xf numFmtId="37" fontId="53" fillId="16" borderId="15" xfId="0" applyNumberFormat="1" applyFont="1" applyFill="1" applyBorder="1"/>
    <xf numFmtId="37" fontId="53" fillId="16" borderId="13" xfId="0" applyNumberFormat="1" applyFont="1" applyFill="1" applyBorder="1"/>
    <xf numFmtId="37" fontId="53" fillId="16" borderId="95" xfId="0" applyNumberFormat="1" applyFont="1" applyFill="1" applyBorder="1"/>
    <xf numFmtId="37" fontId="53" fillId="14" borderId="0" xfId="0" applyNumberFormat="1" applyFont="1" applyFill="1"/>
    <xf numFmtId="37" fontId="53" fillId="14" borderId="84" xfId="0" applyNumberFormat="1" applyFont="1" applyFill="1" applyBorder="1"/>
    <xf numFmtId="37" fontId="52" fillId="17" borderId="0" xfId="0" applyNumberFormat="1" applyFont="1" applyFill="1"/>
    <xf numFmtId="37" fontId="53" fillId="14" borderId="97" xfId="0" applyNumberFormat="1" applyFont="1" applyFill="1" applyBorder="1"/>
    <xf numFmtId="37" fontId="53" fillId="17" borderId="101" xfId="0" applyNumberFormat="1" applyFont="1" applyFill="1" applyBorder="1"/>
    <xf numFmtId="37" fontId="53" fillId="14" borderId="98" xfId="0" applyNumberFormat="1" applyFont="1" applyFill="1" applyBorder="1"/>
    <xf numFmtId="37" fontId="53" fillId="14" borderId="85" xfId="0" applyNumberFormat="1" applyFont="1" applyFill="1" applyBorder="1"/>
    <xf numFmtId="37" fontId="53" fillId="17" borderId="103" xfId="0" applyNumberFormat="1" applyFont="1" applyFill="1" applyBorder="1"/>
    <xf numFmtId="37" fontId="53" fillId="16" borderId="94" xfId="0" applyNumberFormat="1" applyFont="1" applyFill="1" applyBorder="1"/>
    <xf numFmtId="37" fontId="53" fillId="16" borderId="97" xfId="0" applyNumberFormat="1" applyFont="1" applyFill="1" applyBorder="1"/>
    <xf numFmtId="37" fontId="53" fillId="17" borderId="91" xfId="0" applyNumberFormat="1" applyFont="1" applyFill="1" applyBorder="1"/>
    <xf numFmtId="37" fontId="53" fillId="17" borderId="92" xfId="0" applyNumberFormat="1" applyFont="1" applyFill="1" applyBorder="1"/>
    <xf numFmtId="37" fontId="53" fillId="17" borderId="93" xfId="0" applyNumberFormat="1" applyFont="1" applyFill="1" applyBorder="1"/>
    <xf numFmtId="9" fontId="53" fillId="8" borderId="0" xfId="1" applyFont="1" applyFill="1" applyBorder="1"/>
    <xf numFmtId="9" fontId="53" fillId="8" borderId="13" xfId="1" applyFont="1" applyFill="1" applyBorder="1"/>
    <xf numFmtId="37" fontId="52" fillId="0" borderId="76" xfId="0" applyNumberFormat="1" applyFont="1" applyBorder="1" applyAlignment="1">
      <alignment horizontal="center"/>
    </xf>
    <xf numFmtId="37" fontId="52" fillId="0" borderId="77" xfId="0" applyNumberFormat="1" applyFont="1" applyBorder="1" applyAlignment="1">
      <alignment horizontal="center"/>
    </xf>
    <xf numFmtId="37" fontId="52" fillId="0" borderId="78" xfId="0" applyNumberFormat="1" applyFont="1" applyBorder="1" applyAlignment="1">
      <alignment horizontal="center"/>
    </xf>
    <xf numFmtId="37" fontId="52" fillId="0" borderId="19" xfId="0" applyNumberFormat="1" applyFont="1" applyBorder="1" applyAlignment="1">
      <alignment horizontal="center"/>
    </xf>
    <xf numFmtId="37" fontId="52" fillId="0" borderId="16" xfId="0" applyNumberFormat="1" applyFont="1" applyBorder="1" applyAlignment="1">
      <alignment horizontal="center"/>
    </xf>
    <xf numFmtId="37" fontId="52" fillId="0" borderId="42" xfId="0" applyNumberFormat="1" applyFont="1" applyBorder="1" applyAlignment="1">
      <alignment horizontal="center"/>
    </xf>
    <xf numFmtId="37" fontId="53" fillId="15" borderId="79" xfId="0" applyNumberFormat="1" applyFont="1" applyFill="1" applyBorder="1" applyAlignment="1">
      <alignment horizontal="center"/>
    </xf>
    <xf numFmtId="37" fontId="53" fillId="15" borderId="16" xfId="0" applyNumberFormat="1" applyFont="1" applyFill="1" applyBorder="1" applyAlignment="1">
      <alignment horizontal="center"/>
    </xf>
    <xf numFmtId="37" fontId="53" fillId="15" borderId="42" xfId="0" applyNumberFormat="1" applyFont="1" applyFill="1" applyBorder="1" applyAlignment="1">
      <alignment horizontal="center"/>
    </xf>
    <xf numFmtId="37" fontId="53" fillId="15" borderId="82" xfId="0" applyNumberFormat="1" applyFont="1" applyFill="1" applyBorder="1" applyAlignment="1">
      <alignment horizontal="center"/>
    </xf>
    <xf numFmtId="37" fontId="53" fillId="15" borderId="0" xfId="0" applyNumberFormat="1" applyFont="1" applyFill="1" applyAlignment="1">
      <alignment horizontal="center"/>
    </xf>
    <xf numFmtId="37" fontId="53" fillId="15" borderId="75" xfId="0" applyNumberFormat="1" applyFont="1" applyFill="1" applyBorder="1" applyAlignment="1">
      <alignment horizontal="center"/>
    </xf>
    <xf numFmtId="37" fontId="53" fillId="15" borderId="17" xfId="0" applyNumberFormat="1" applyFont="1" applyFill="1" applyBorder="1" applyAlignment="1">
      <alignment horizontal="center"/>
    </xf>
    <xf numFmtId="37" fontId="52" fillId="15" borderId="19" xfId="0" applyNumberFormat="1" applyFont="1" applyFill="1" applyBorder="1" applyAlignment="1">
      <alignment horizontal="center"/>
    </xf>
    <xf numFmtId="37" fontId="52" fillId="15" borderId="16" xfId="0" applyNumberFormat="1" applyFont="1" applyFill="1" applyBorder="1" applyAlignment="1">
      <alignment horizontal="center"/>
    </xf>
    <xf numFmtId="37" fontId="53" fillId="0" borderId="0" xfId="0" applyNumberFormat="1" applyFont="1" applyAlignment="1">
      <alignment horizontal="center"/>
    </xf>
    <xf numFmtId="37" fontId="53" fillId="0" borderId="75" xfId="0" applyNumberFormat="1" applyFont="1" applyBorder="1" applyAlignment="1">
      <alignment horizontal="center"/>
    </xf>
    <xf numFmtId="37" fontId="52" fillId="15" borderId="17" xfId="0" applyNumberFormat="1" applyFont="1" applyFill="1" applyBorder="1" applyAlignment="1">
      <alignment horizontal="center"/>
    </xf>
    <xf numFmtId="37" fontId="52" fillId="15" borderId="0" xfId="0" applyNumberFormat="1" applyFont="1" applyFill="1" applyAlignment="1">
      <alignment horizontal="center"/>
    </xf>
    <xf numFmtId="37" fontId="53" fillId="0" borderId="80" xfId="0" applyNumberFormat="1" applyFont="1" applyBorder="1" applyAlignment="1">
      <alignment horizontal="center"/>
    </xf>
    <xf numFmtId="37" fontId="53" fillId="0" borderId="13" xfId="0" applyNumberFormat="1" applyFont="1" applyBorder="1" applyAlignment="1">
      <alignment horizontal="center"/>
    </xf>
    <xf numFmtId="37" fontId="53" fillId="0" borderId="12" xfId="0" applyNumberFormat="1" applyFont="1" applyBorder="1" applyAlignment="1">
      <alignment horizontal="center"/>
    </xf>
    <xf numFmtId="37" fontId="53" fillId="0" borderId="15" xfId="0" applyNumberFormat="1" applyFont="1" applyBorder="1" applyAlignment="1">
      <alignment horizontal="center"/>
    </xf>
    <xf numFmtId="37" fontId="52" fillId="0" borderId="17" xfId="0" applyNumberFormat="1" applyFont="1" applyBorder="1" applyAlignment="1">
      <alignment horizontal="center"/>
    </xf>
    <xf numFmtId="37" fontId="52" fillId="0" borderId="0" xfId="0" applyNumberFormat="1" applyFont="1" applyAlignment="1">
      <alignment horizontal="center"/>
    </xf>
    <xf numFmtId="37" fontId="54" fillId="0" borderId="80" xfId="0" applyNumberFormat="1" applyFont="1" applyBorder="1" applyAlignment="1">
      <alignment horizontal="center"/>
    </xf>
    <xf numFmtId="37" fontId="54" fillId="0" borderId="13" xfId="0" applyNumberFormat="1" applyFont="1" applyBorder="1" applyAlignment="1">
      <alignment horizontal="center"/>
    </xf>
    <xf numFmtId="37" fontId="52" fillId="15" borderId="15" xfId="0" applyNumberFormat="1" applyFont="1" applyFill="1" applyBorder="1" applyAlignment="1">
      <alignment horizontal="center"/>
    </xf>
    <xf numFmtId="37" fontId="52" fillId="15" borderId="13" xfId="0" applyNumberFormat="1" applyFont="1" applyFill="1" applyBorder="1" applyAlignment="1">
      <alignment horizontal="center"/>
    </xf>
    <xf numFmtId="37" fontId="53" fillId="15" borderId="13" xfId="0" applyNumberFormat="1" applyFont="1" applyFill="1" applyBorder="1" applyAlignment="1">
      <alignment horizontal="center"/>
    </xf>
    <xf numFmtId="37" fontId="53" fillId="15" borderId="12" xfId="0" applyNumberFormat="1" applyFont="1" applyFill="1" applyBorder="1" applyAlignment="1">
      <alignment horizontal="center"/>
    </xf>
    <xf numFmtId="37" fontId="53" fillId="15" borderId="99" xfId="0" applyNumberFormat="1" applyFont="1" applyFill="1" applyBorder="1" applyAlignment="1">
      <alignment horizontal="center"/>
    </xf>
    <xf numFmtId="37" fontId="53" fillId="15" borderId="52" xfId="0" applyNumberFormat="1" applyFont="1" applyFill="1" applyBorder="1" applyAlignment="1">
      <alignment horizontal="center"/>
    </xf>
    <xf numFmtId="37" fontId="53" fillId="0" borderId="52" xfId="0" applyNumberFormat="1" applyFont="1" applyBorder="1" applyAlignment="1">
      <alignment horizontal="center"/>
    </xf>
    <xf numFmtId="9" fontId="53" fillId="0" borderId="80" xfId="1" applyFont="1" applyBorder="1" applyAlignment="1">
      <alignment horizontal="center"/>
    </xf>
    <xf numFmtId="9" fontId="53" fillId="0" borderId="13" xfId="1" applyFont="1" applyBorder="1" applyAlignment="1">
      <alignment horizontal="center"/>
    </xf>
    <xf numFmtId="9" fontId="53" fillId="0" borderId="12" xfId="1" applyFont="1" applyBorder="1" applyAlignment="1">
      <alignment horizontal="center"/>
    </xf>
    <xf numFmtId="37" fontId="52" fillId="0" borderId="15" xfId="0" applyNumberFormat="1" applyFont="1" applyBorder="1" applyAlignment="1">
      <alignment horizontal="center"/>
    </xf>
    <xf numFmtId="37" fontId="52" fillId="0" borderId="13" xfId="0" applyNumberFormat="1" applyFont="1" applyBorder="1" applyAlignment="1">
      <alignment horizontal="center"/>
    </xf>
    <xf numFmtId="37" fontId="53" fillId="0" borderId="100" xfId="0" applyNumberFormat="1" applyFont="1" applyBorder="1" applyAlignment="1">
      <alignment horizontal="center"/>
    </xf>
    <xf numFmtId="0" fontId="53" fillId="0" borderId="13" xfId="0" applyFont="1" applyBorder="1" applyAlignment="1">
      <alignment horizontal="center"/>
    </xf>
    <xf numFmtId="9" fontId="53" fillId="15" borderId="79" xfId="1" applyFont="1" applyFill="1" applyBorder="1" applyAlignment="1">
      <alignment horizontal="center"/>
    </xf>
    <xf numFmtId="9" fontId="53" fillId="15" borderId="16" xfId="1" applyFont="1" applyFill="1" applyBorder="1" applyAlignment="1">
      <alignment horizontal="center"/>
    </xf>
    <xf numFmtId="9" fontId="53" fillId="15" borderId="42" xfId="1" applyFont="1" applyFill="1" applyBorder="1" applyAlignment="1">
      <alignment horizontal="center"/>
    </xf>
    <xf numFmtId="37" fontId="53" fillId="17" borderId="13" xfId="0" applyNumberFormat="1" applyFont="1" applyFill="1" applyBorder="1" applyAlignment="1">
      <alignment horizontal="center"/>
    </xf>
    <xf numFmtId="37" fontId="53" fillId="15" borderId="100" xfId="0" applyNumberFormat="1" applyFont="1" applyFill="1" applyBorder="1" applyAlignment="1">
      <alignment horizontal="center"/>
    </xf>
    <xf numFmtId="0" fontId="34" fillId="0" borderId="0" xfId="0" applyFont="1" applyAlignment="1">
      <alignment horizontal="left" vertical="center"/>
    </xf>
    <xf numFmtId="0" fontId="3" fillId="0" borderId="53" xfId="2" applyFill="1" applyBorder="1">
      <alignment horizontal="center" vertical="center"/>
    </xf>
    <xf numFmtId="0" fontId="3" fillId="0" borderId="54" xfId="2" applyFill="1" applyBorder="1">
      <alignment horizontal="center" vertical="center"/>
    </xf>
    <xf numFmtId="9" fontId="28" fillId="0" borderId="0" xfId="1" applyFont="1" applyAlignment="1">
      <alignment horizontal="center"/>
    </xf>
    <xf numFmtId="0" fontId="51" fillId="0" borderId="0" xfId="27" applyNumberFormat="1" applyFont="1" applyBorder="1" applyAlignment="1">
      <alignment horizontal="left"/>
    </xf>
    <xf numFmtId="0" fontId="51" fillId="0" borderId="0" xfId="27" applyFont="1" applyBorder="1" applyAlignment="1">
      <alignment horizontal="left"/>
    </xf>
    <xf numFmtId="0" fontId="27" fillId="0" borderId="0" xfId="0" applyFont="1" applyAlignment="1">
      <alignment horizontal="left" vertical="top" readingOrder="1"/>
    </xf>
    <xf numFmtId="166" fontId="43" fillId="6" borderId="27" xfId="0" applyNumberFormat="1" applyFont="1" applyFill="1" applyBorder="1" applyAlignment="1">
      <alignment horizontal="center" vertical="center"/>
    </xf>
    <xf numFmtId="166" fontId="43" fillId="6" borderId="30" xfId="0" applyNumberFormat="1" applyFont="1" applyFill="1" applyBorder="1" applyAlignment="1">
      <alignment horizontal="center" vertical="center"/>
    </xf>
    <xf numFmtId="165" fontId="43" fillId="10" borderId="23" xfId="0" applyNumberFormat="1" applyFont="1" applyFill="1" applyBorder="1" applyAlignment="1">
      <alignment horizontal="center" vertical="center"/>
    </xf>
    <xf numFmtId="165" fontId="43" fillId="10" borderId="35" xfId="0" applyNumberFormat="1" applyFont="1" applyFill="1" applyBorder="1" applyAlignment="1">
      <alignment horizontal="center" vertical="center"/>
    </xf>
    <xf numFmtId="37" fontId="48" fillId="7" borderId="46" xfId="0" applyNumberFormat="1" applyFont="1" applyFill="1" applyBorder="1" applyAlignment="1">
      <alignment horizontal="center" vertical="center"/>
    </xf>
    <xf numFmtId="37" fontId="48" fillId="7" borderId="47" xfId="0" applyNumberFormat="1" applyFont="1" applyFill="1" applyBorder="1" applyAlignment="1">
      <alignment horizontal="center" vertical="center"/>
    </xf>
    <xf numFmtId="37" fontId="48" fillId="7" borderId="48" xfId="0" applyNumberFormat="1" applyFont="1" applyFill="1" applyBorder="1" applyAlignment="1">
      <alignment horizontal="center" vertical="center"/>
    </xf>
    <xf numFmtId="37" fontId="47" fillId="7" borderId="23" xfId="0" applyNumberFormat="1" applyFont="1" applyFill="1" applyBorder="1" applyAlignment="1">
      <alignment horizontal="center" vertical="center"/>
    </xf>
    <xf numFmtId="37" fontId="47" fillId="7" borderId="24" xfId="0" applyNumberFormat="1" applyFont="1" applyFill="1" applyBorder="1" applyAlignment="1">
      <alignment horizontal="center" vertical="center"/>
    </xf>
    <xf numFmtId="37" fontId="47" fillId="7" borderId="25" xfId="0" applyNumberFormat="1" applyFont="1" applyFill="1" applyBorder="1" applyAlignment="1">
      <alignment horizontal="center" vertical="center"/>
    </xf>
    <xf numFmtId="37" fontId="41" fillId="7" borderId="23" xfId="0" applyNumberFormat="1" applyFont="1" applyFill="1" applyBorder="1" applyAlignment="1">
      <alignment horizontal="center" vertical="center"/>
    </xf>
    <xf numFmtId="37" fontId="41" fillId="7" borderId="24" xfId="0" applyNumberFormat="1" applyFont="1" applyFill="1" applyBorder="1" applyAlignment="1">
      <alignment horizontal="center" vertical="center"/>
    </xf>
    <xf numFmtId="37" fontId="41" fillId="7" borderId="25" xfId="0" applyNumberFormat="1" applyFont="1" applyFill="1" applyBorder="1" applyAlignment="1">
      <alignment horizontal="center" vertical="center"/>
    </xf>
    <xf numFmtId="37" fontId="41" fillId="7" borderId="46" xfId="0" applyNumberFormat="1" applyFont="1" applyFill="1" applyBorder="1" applyAlignment="1">
      <alignment horizontal="center" vertical="center"/>
    </xf>
    <xf numFmtId="37" fontId="41" fillId="7" borderId="47" xfId="0" applyNumberFormat="1" applyFont="1" applyFill="1" applyBorder="1" applyAlignment="1">
      <alignment horizontal="center" vertical="center"/>
    </xf>
    <xf numFmtId="37" fontId="41" fillId="7" borderId="48" xfId="0" applyNumberFormat="1" applyFont="1" applyFill="1" applyBorder="1" applyAlignment="1">
      <alignment horizontal="center" vertical="center"/>
    </xf>
    <xf numFmtId="166" fontId="43" fillId="6" borderId="45" xfId="0" applyNumberFormat="1" applyFont="1" applyFill="1" applyBorder="1" applyAlignment="1">
      <alignment horizontal="center" vertical="center"/>
    </xf>
    <xf numFmtId="37" fontId="43" fillId="6" borderId="27" xfId="0" applyNumberFormat="1" applyFont="1" applyFill="1" applyBorder="1" applyAlignment="1">
      <alignment horizontal="center" vertical="center"/>
    </xf>
    <xf numFmtId="37" fontId="43" fillId="6" borderId="30" xfId="0" applyNumberFormat="1" applyFont="1" applyFill="1" applyBorder="1" applyAlignment="1">
      <alignment horizontal="center" vertical="center"/>
    </xf>
    <xf numFmtId="166" fontId="43" fillId="6" borderId="43" xfId="0" applyNumberFormat="1" applyFont="1" applyFill="1" applyBorder="1" applyAlignment="1">
      <alignment horizontal="center" vertical="center"/>
    </xf>
    <xf numFmtId="166" fontId="43" fillId="6" borderId="44" xfId="0" applyNumberFormat="1" applyFont="1" applyFill="1" applyBorder="1" applyAlignment="1">
      <alignment horizontal="center" vertical="center"/>
    </xf>
    <xf numFmtId="37" fontId="41" fillId="7" borderId="19" xfId="0" applyNumberFormat="1" applyFont="1" applyFill="1" applyBorder="1" applyAlignment="1">
      <alignment horizontal="center" vertical="center"/>
    </xf>
    <xf numFmtId="37" fontId="41" fillId="7" borderId="16" xfId="0" applyNumberFormat="1" applyFont="1" applyFill="1" applyBorder="1" applyAlignment="1">
      <alignment horizontal="center" vertical="center"/>
    </xf>
    <xf numFmtId="37" fontId="41" fillId="7" borderId="42" xfId="0" applyNumberFormat="1" applyFont="1" applyFill="1" applyBorder="1" applyAlignment="1">
      <alignment horizontal="center" vertical="center"/>
    </xf>
    <xf numFmtId="166" fontId="43" fillId="8" borderId="23" xfId="0" applyNumberFormat="1" applyFont="1" applyFill="1" applyBorder="1" applyAlignment="1">
      <alignment horizontal="center" vertical="center"/>
    </xf>
    <xf numFmtId="166" fontId="43" fillId="8" borderId="35" xfId="0" applyNumberFormat="1" applyFont="1" applyFill="1" applyBorder="1" applyAlignment="1">
      <alignment horizontal="center" vertical="center"/>
    </xf>
    <xf numFmtId="165" fontId="43" fillId="8" borderId="23" xfId="0" applyNumberFormat="1" applyFont="1" applyFill="1" applyBorder="1" applyAlignment="1">
      <alignment horizontal="center" vertical="center"/>
    </xf>
    <xf numFmtId="165" fontId="43" fillId="8" borderId="35" xfId="0" applyNumberFormat="1" applyFont="1" applyFill="1" applyBorder="1" applyAlignment="1">
      <alignment horizontal="center" vertical="center"/>
    </xf>
    <xf numFmtId="0" fontId="53" fillId="15" borderId="16" xfId="0" applyFont="1" applyFill="1" applyBorder="1" applyAlignment="1">
      <alignment horizontal="center"/>
    </xf>
    <xf numFmtId="0" fontId="53" fillId="15" borderId="42" xfId="0" applyFont="1" applyFill="1" applyBorder="1" applyAlignment="1">
      <alignment horizontal="center"/>
    </xf>
    <xf numFmtId="0" fontId="53" fillId="0" borderId="12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52" fillId="0" borderId="78" xfId="0" applyFont="1" applyBorder="1" applyAlignment="1">
      <alignment horizontal="center"/>
    </xf>
    <xf numFmtId="9" fontId="53" fillId="0" borderId="80" xfId="0" applyNumberFormat="1" applyFont="1" applyBorder="1" applyAlignment="1">
      <alignment horizontal="center"/>
    </xf>
    <xf numFmtId="9" fontId="53" fillId="15" borderId="79" xfId="0" applyNumberFormat="1" applyFont="1" applyFill="1" applyBorder="1" applyAlignment="1">
      <alignment horizontal="center"/>
    </xf>
    <xf numFmtId="0" fontId="52" fillId="0" borderId="19" xfId="0" applyFont="1" applyBorder="1" applyAlignment="1">
      <alignment horizontal="center"/>
    </xf>
    <xf numFmtId="0" fontId="52" fillId="0" borderId="16" xfId="0" applyFont="1" applyBorder="1" applyAlignment="1">
      <alignment horizontal="center"/>
    </xf>
    <xf numFmtId="0" fontId="52" fillId="0" borderId="42" xfId="0" applyFont="1" applyBorder="1" applyAlignment="1">
      <alignment horizontal="center"/>
    </xf>
    <xf numFmtId="0" fontId="52" fillId="15" borderId="19" xfId="0" applyFont="1" applyFill="1" applyBorder="1" applyAlignment="1">
      <alignment horizontal="center"/>
    </xf>
    <xf numFmtId="0" fontId="52" fillId="15" borderId="16" xfId="0" applyFont="1" applyFill="1" applyBorder="1" applyAlignment="1">
      <alignment horizontal="center"/>
    </xf>
    <xf numFmtId="0" fontId="52" fillId="0" borderId="17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52" fillId="15" borderId="17" xfId="0" applyFont="1" applyFill="1" applyBorder="1" applyAlignment="1">
      <alignment horizontal="center"/>
    </xf>
    <xf numFmtId="0" fontId="52" fillId="15" borderId="0" xfId="0" applyFont="1" applyFill="1" applyAlignment="1">
      <alignment horizontal="center"/>
    </xf>
    <xf numFmtId="0" fontId="52" fillId="15" borderId="15" xfId="0" applyFont="1" applyFill="1" applyBorder="1" applyAlignment="1">
      <alignment horizontal="center"/>
    </xf>
    <xf numFmtId="0" fontId="52" fillId="15" borderId="13" xfId="0" applyFont="1" applyFill="1" applyBorder="1" applyAlignment="1">
      <alignment horizontal="center"/>
    </xf>
    <xf numFmtId="0" fontId="52" fillId="0" borderId="15" xfId="0" applyFont="1" applyBorder="1" applyAlignment="1">
      <alignment horizontal="center"/>
    </xf>
    <xf numFmtId="0" fontId="52" fillId="0" borderId="13" xfId="0" applyFont="1" applyBorder="1" applyAlignment="1">
      <alignment horizontal="center"/>
    </xf>
    <xf numFmtId="166" fontId="53" fillId="15" borderId="16" xfId="0" applyNumberFormat="1" applyFont="1" applyFill="1" applyBorder="1" applyAlignment="1">
      <alignment horizontal="center"/>
    </xf>
    <xf numFmtId="166" fontId="55" fillId="15" borderId="79" xfId="0" applyNumberFormat="1" applyFont="1" applyFill="1" applyBorder="1" applyAlignment="1">
      <alignment horizontal="center"/>
    </xf>
    <xf numFmtId="166" fontId="55" fillId="15" borderId="16" xfId="0" applyNumberFormat="1" applyFont="1" applyFill="1" applyBorder="1" applyAlignment="1">
      <alignment horizontal="center"/>
    </xf>
    <xf numFmtId="166" fontId="53" fillId="0" borderId="80" xfId="0" applyNumberFormat="1" applyFont="1" applyBorder="1" applyAlignment="1">
      <alignment horizontal="center"/>
    </xf>
    <xf numFmtId="166" fontId="53" fillId="0" borderId="13" xfId="0" applyNumberFormat="1" applyFont="1" applyBorder="1" applyAlignment="1">
      <alignment horizontal="center"/>
    </xf>
    <xf numFmtId="166" fontId="53" fillId="15" borderId="42" xfId="0" applyNumberFormat="1" applyFont="1" applyFill="1" applyBorder="1" applyAlignment="1">
      <alignment horizontal="center"/>
    </xf>
    <xf numFmtId="166" fontId="53" fillId="0" borderId="12" xfId="0" applyNumberFormat="1" applyFont="1" applyBorder="1" applyAlignment="1">
      <alignment horizontal="center"/>
    </xf>
    <xf numFmtId="166" fontId="55" fillId="0" borderId="80" xfId="0" applyNumberFormat="1" applyFont="1" applyBorder="1" applyAlignment="1">
      <alignment horizontal="center"/>
    </xf>
    <xf numFmtId="166" fontId="55" fillId="0" borderId="13" xfId="0" applyNumberFormat="1" applyFont="1" applyBorder="1" applyAlignment="1">
      <alignment horizontal="center"/>
    </xf>
    <xf numFmtId="166" fontId="55" fillId="15" borderId="42" xfId="0" applyNumberFormat="1" applyFont="1" applyFill="1" applyBorder="1" applyAlignment="1">
      <alignment horizontal="center"/>
    </xf>
    <xf numFmtId="166" fontId="55" fillId="0" borderId="12" xfId="0" applyNumberFormat="1" applyFont="1" applyBorder="1" applyAlignment="1">
      <alignment horizontal="center"/>
    </xf>
    <xf numFmtId="166" fontId="53" fillId="15" borderId="82" xfId="0" applyNumberFormat="1" applyFont="1" applyFill="1" applyBorder="1" applyAlignment="1">
      <alignment horizontal="center"/>
    </xf>
    <xf numFmtId="166" fontId="53" fillId="15" borderId="0" xfId="0" applyNumberFormat="1" applyFont="1" applyFill="1" applyAlignment="1">
      <alignment horizontal="center"/>
    </xf>
    <xf numFmtId="166" fontId="53" fillId="15" borderId="75" xfId="0" applyNumberFormat="1" applyFont="1" applyFill="1" applyBorder="1" applyAlignment="1">
      <alignment horizontal="center"/>
    </xf>
    <xf numFmtId="166" fontId="53" fillId="15" borderId="19" xfId="0" applyNumberFormat="1" applyFont="1" applyFill="1" applyBorder="1" applyAlignment="1">
      <alignment horizontal="center"/>
    </xf>
    <xf numFmtId="166" fontId="53" fillId="15" borderId="85" xfId="0" applyNumberFormat="1" applyFont="1" applyFill="1" applyBorder="1" applyAlignment="1">
      <alignment horizontal="center"/>
    </xf>
    <xf numFmtId="166" fontId="53" fillId="15" borderId="17" xfId="0" applyNumberFormat="1" applyFont="1" applyFill="1" applyBorder="1" applyAlignment="1">
      <alignment horizontal="center"/>
    </xf>
    <xf numFmtId="166" fontId="53" fillId="0" borderId="15" xfId="0" applyNumberFormat="1" applyFont="1" applyBorder="1" applyAlignment="1">
      <alignment horizontal="center"/>
    </xf>
    <xf numFmtId="166" fontId="53" fillId="15" borderId="0" xfId="0" applyNumberFormat="1" applyFont="1" applyFill="1"/>
    <xf numFmtId="166" fontId="53" fillId="15" borderId="99" xfId="0" applyNumberFormat="1" applyFont="1" applyFill="1" applyBorder="1" applyAlignment="1">
      <alignment horizontal="center"/>
    </xf>
    <xf numFmtId="166" fontId="53" fillId="0" borderId="100" xfId="0" applyNumberFormat="1" applyFont="1" applyBorder="1" applyAlignment="1">
      <alignment horizontal="center"/>
    </xf>
    <xf numFmtId="166" fontId="53" fillId="0" borderId="52" xfId="0" applyNumberFormat="1" applyFont="1" applyBorder="1" applyAlignment="1">
      <alignment horizontal="center"/>
    </xf>
    <xf numFmtId="166" fontId="53" fillId="0" borderId="0" xfId="0" applyNumberFormat="1" applyFont="1" applyAlignment="1">
      <alignment horizontal="center"/>
    </xf>
    <xf numFmtId="166" fontId="53" fillId="15" borderId="100" xfId="0" applyNumberFormat="1" applyFont="1" applyFill="1" applyBorder="1" applyAlignment="1">
      <alignment horizontal="center"/>
    </xf>
    <xf numFmtId="166" fontId="53" fillId="15" borderId="13" xfId="0" applyNumberFormat="1" applyFont="1" applyFill="1" applyBorder="1" applyAlignment="1">
      <alignment horizontal="center"/>
    </xf>
    <xf numFmtId="166" fontId="53" fillId="0" borderId="75" xfId="0" applyNumberFormat="1" applyFont="1" applyBorder="1" applyAlignment="1">
      <alignment horizontal="center"/>
    </xf>
    <xf numFmtId="166" fontId="53" fillId="15" borderId="12" xfId="0" applyNumberFormat="1" applyFont="1" applyFill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/>
    </xf>
  </cellXfs>
  <cellStyles count="79">
    <cellStyle name="AF Column - IBM Cognos" xfId="2" xr:uid="{B1E89FAA-30C3-4189-90D2-A5C481F2C043}"/>
    <cellStyle name="AF Data - IBM Cognos" xfId="3" xr:uid="{038FEF2C-BB3E-450B-AE01-630172BFDBCF}"/>
    <cellStyle name="AF Data 0 - IBM Cognos" xfId="4" xr:uid="{37CADFFD-CC28-41E8-A8F9-FA9504D14357}"/>
    <cellStyle name="AF Data 1 - IBM Cognos" xfId="5" xr:uid="{608B89AD-AA05-4EAF-A025-1E020ACAED64}"/>
    <cellStyle name="AF Data 2 - IBM Cognos" xfId="6" xr:uid="{9725C40F-FC65-40A5-A1D9-0B48E00B678F}"/>
    <cellStyle name="AF Data 3 - IBM Cognos" xfId="7" xr:uid="{CDF63BA9-B023-41D7-9103-AD3DD4E99D82}"/>
    <cellStyle name="AF Data 4 - IBM Cognos" xfId="8" xr:uid="{0796654F-4246-42AB-8D6A-87881A254132}"/>
    <cellStyle name="AF Data 5 - IBM Cognos" xfId="9" xr:uid="{9C5978D6-FF27-4745-AAAD-9FABEA6C8765}"/>
    <cellStyle name="AF Data Leaf - IBM Cognos" xfId="10" xr:uid="{BCF996F7-C40A-4F12-ADA3-8CEABC2FE905}"/>
    <cellStyle name="AF Header - IBM Cognos" xfId="11" xr:uid="{E828E790-355D-4258-8B22-688E905A5818}"/>
    <cellStyle name="AF Header 0 - IBM Cognos" xfId="12" xr:uid="{3598D40B-030A-4CBE-A5E9-7E80F263364C}"/>
    <cellStyle name="AF Header 1 - IBM Cognos" xfId="13" xr:uid="{B5AE6C9F-5337-4F04-A266-C4166A58314F}"/>
    <cellStyle name="AF Header 2 - IBM Cognos" xfId="14" xr:uid="{4A9BD419-E5EB-47C9-B525-DD58A909F5B6}"/>
    <cellStyle name="AF Header 3 - IBM Cognos" xfId="15" xr:uid="{5B928BEA-B3F1-43AC-8336-057052699471}"/>
    <cellStyle name="AF Header 4 - IBM Cognos" xfId="16" xr:uid="{D7B8A093-926F-4C33-88A0-807FA425C93F}"/>
    <cellStyle name="AF Header 5 - IBM Cognos" xfId="17" xr:uid="{F181B84C-32C3-40AC-A93C-7E12B451AC70}"/>
    <cellStyle name="AF Header Leaf - IBM Cognos" xfId="18" xr:uid="{2969507F-D07D-437A-A76A-CC9B78E43E34}"/>
    <cellStyle name="AF Row - IBM Cognos" xfId="19" xr:uid="{45C35D67-805F-4A06-923F-ADC99D23AF06}"/>
    <cellStyle name="AF Row 0 - IBM Cognos" xfId="20" xr:uid="{AEC613C4-2BDE-41C3-B3B2-063EC71155F8}"/>
    <cellStyle name="AF Row 1 - IBM Cognos" xfId="21" xr:uid="{6C688AAB-5C20-49D8-8FAD-48CD6DDB8EF0}"/>
    <cellStyle name="AF Row 2 - IBM Cognos" xfId="22" xr:uid="{0CF2FD36-2A20-40BA-BD1B-CFA17FA658EC}"/>
    <cellStyle name="AF Row 3 - IBM Cognos" xfId="23" xr:uid="{CFF8C89B-DD61-4098-9150-9D7A3BABB2BC}"/>
    <cellStyle name="AF Row 4 - IBM Cognos" xfId="24" xr:uid="{81F67D2A-911D-4F92-A65C-828586C89769}"/>
    <cellStyle name="AF Row 5 - IBM Cognos" xfId="25" xr:uid="{6AA5F6D6-EA45-4FEB-8006-F73FD259C28F}"/>
    <cellStyle name="AF Row Leaf - IBM Cognos" xfId="26" xr:uid="{F5B73E0E-E0F8-4448-BE52-78039A7D5BD9}"/>
    <cellStyle name="AF Subnm - IBM Cognos" xfId="27" xr:uid="{3FAECBD3-C008-4AE8-9599-F27F1A4C64E3}"/>
    <cellStyle name="AF Title - IBM Cognos" xfId="28" xr:uid="{284CB691-2A47-4A3E-9EF2-4615C9FB0A79}"/>
    <cellStyle name="Calculated Column - IBM Cognos" xfId="29" xr:uid="{BA15EE7B-754A-499E-92BD-226EAAFD0AE9}"/>
    <cellStyle name="Calculated Column Name - IBM Cognos" xfId="30" xr:uid="{03C9043E-C61E-4045-9BAC-9412BBA78009}"/>
    <cellStyle name="Calculated Row - IBM Cognos" xfId="31" xr:uid="{9927F6DB-A08F-452E-82E7-F8B90FE92748}"/>
    <cellStyle name="Calculated Row Name - IBM Cognos" xfId="32" xr:uid="{98A6B07A-F927-45D2-8089-8D9D8AB874DC}"/>
    <cellStyle name="Column Name - IBM Cognos" xfId="33" xr:uid="{DE229694-2A62-4851-9BB4-535025631DFF}"/>
    <cellStyle name="Column Template - IBM Cognos" xfId="34" xr:uid="{108A79CD-F118-4C97-AE6A-5BC9DBA90B92}"/>
    <cellStyle name="Comma 3" xfId="78" xr:uid="{FD9BA812-9B4A-49A9-9379-987DD61D83E6}"/>
    <cellStyle name="Differs From Base - IBM Cognos" xfId="35" xr:uid="{1AAA036D-6FE0-4B91-9C69-6EFF541F8FA2}"/>
    <cellStyle name="DQR Column 0 - IBM Cognos" xfId="36" xr:uid="{1F416C2C-124F-4158-911E-22D1A6C85CB9}"/>
    <cellStyle name="DQR Column 1 - IBM Cognos" xfId="37" xr:uid="{AD2B1FDB-176B-4883-8EAD-CE5673BF3528}"/>
    <cellStyle name="DQR Column 2 - IBM Cognos" xfId="38" xr:uid="{9EFC0526-FD92-448A-A461-74D9352B1A64}"/>
    <cellStyle name="DQR Column 3 - IBM Cognos" xfId="39" xr:uid="{0094C31D-6794-4979-9023-FEF3F9AA1739}"/>
    <cellStyle name="DQR Column 4 - IBM Cognos" xfId="40" xr:uid="{E25D8276-CFDF-44C9-98D1-B645E6C6A1B3}"/>
    <cellStyle name="DQR Column 5 - IBM Cognos" xfId="41" xr:uid="{106700C4-3E11-457F-920E-376BA64410D6}"/>
    <cellStyle name="DQR Column Default - IBM Cognos" xfId="42" xr:uid="{C7D41B7A-5082-4B2E-9F60-4F8CA33EA2AD}"/>
    <cellStyle name="DQR Column Leaf - IBM Cognos" xfId="43" xr:uid="{5CB3886C-FB8B-4678-9AF1-CB8DFCEBC425}"/>
    <cellStyle name="DQR Data Default - IBM Cognos" xfId="44" xr:uid="{52BD4D03-BA5A-445E-B719-B3BB029A5365}"/>
    <cellStyle name="DQR Default - IBM Cognos" xfId="45" xr:uid="{4F74B1DA-F1A1-4E25-A136-080816FD9E22}"/>
    <cellStyle name="DQR Gutter Default - IBM Cognos" xfId="46" xr:uid="{0E850B58-B665-476D-8902-455F2D855287}"/>
    <cellStyle name="DQR Gutter Default (OFF) - IBM Cognos" xfId="47" xr:uid="{20F28005-A140-4EAE-87A4-719409B6F3B3}"/>
    <cellStyle name="DQR Row 0 - IBM Cognos" xfId="48" xr:uid="{4B258EF7-6317-4D95-8AD2-694889A454AC}"/>
    <cellStyle name="DQR Row 1 - IBM Cognos" xfId="49" xr:uid="{9E38486D-1FA0-42CB-800D-2A4AB54853EF}"/>
    <cellStyle name="DQR Row 2 - IBM Cognos" xfId="50" xr:uid="{80D17C4C-F912-4C91-A889-F349FD24B2C0}"/>
    <cellStyle name="DQR Row 3 - IBM Cognos" xfId="51" xr:uid="{402E28D1-AF11-4B21-923F-65258A49F0A3}"/>
    <cellStyle name="DQR Row 4 - IBM Cognos" xfId="52" xr:uid="{27ADD143-784A-493D-B1DD-13C1956A8AC0}"/>
    <cellStyle name="DQR Row 5 - IBM Cognos" xfId="53" xr:uid="{739F7E37-9719-46B1-AA4D-A4FBE6914F2B}"/>
    <cellStyle name="DQR Row Default - IBM Cognos" xfId="54" xr:uid="{6690592B-CF8F-4A47-98A0-1D977AEA2081}"/>
    <cellStyle name="DQR Row Leaf - IBM Cognos" xfId="55" xr:uid="{56F385DC-7BCC-47DA-AF30-CE10D96F637A}"/>
    <cellStyle name="Edit - IBM Cognos" xfId="56" xr:uid="{5A983068-33B1-4527-B543-B9776BCE95A4}"/>
    <cellStyle name="Formula - IBM Cognos" xfId="57" xr:uid="{079DE520-34EF-4A76-834E-D5408083B4E8}"/>
    <cellStyle name="Group Name - IBM Cognos" xfId="58" xr:uid="{0029DAEC-C98A-40A3-AC54-0DB63E261EB4}"/>
    <cellStyle name="Hold Values - IBM Cognos" xfId="59" xr:uid="{85C39233-5FD5-46DF-86A7-B6A72E1C46FC}"/>
    <cellStyle name="List Name - IBM Cognos" xfId="60" xr:uid="{61F3C0D6-43A5-4C74-9CCF-15CA585B1DAD}"/>
    <cellStyle name="Locked - IBM Cognos" xfId="61" xr:uid="{32C2E4C1-3C40-4EBE-AA3D-D37E8EE4D316}"/>
    <cellStyle name="Measure - IBM Cognos" xfId="62" xr:uid="{31AD5B68-0B36-4349-A0A8-3B752200BA82}"/>
    <cellStyle name="Measure Header - IBM Cognos" xfId="63" xr:uid="{A90C6D81-FDF9-4F51-9C8E-90EFFCAD60F1}"/>
    <cellStyle name="Measure Name - IBM Cognos" xfId="64" xr:uid="{061FBCFF-5018-4587-9A7A-B20F86F7FD9D}"/>
    <cellStyle name="Measure Summary - IBM Cognos" xfId="65" xr:uid="{A0B3EA5C-F61D-40C9-9E38-15E2C367B762}"/>
    <cellStyle name="Measure Summary TM1 - IBM Cognos" xfId="66" xr:uid="{C39D0541-0F77-4340-8ED5-E6E2E9781BFE}"/>
    <cellStyle name="Measure Template - IBM Cognos" xfId="67" xr:uid="{3AC5709D-F7A2-4C45-BFA3-A3C48E91E81C}"/>
    <cellStyle name="More - IBM Cognos" xfId="68" xr:uid="{F7472E4F-5919-4FC6-B98F-2996BDE2A136}"/>
    <cellStyle name="Normal" xfId="0" builtinId="0" customBuiltin="1"/>
    <cellStyle name="Normal 2" xfId="77" xr:uid="{86CF5889-1B51-410A-8F5D-D34CE53C6D0E}"/>
    <cellStyle name="Pending Change - IBM Cognos" xfId="69" xr:uid="{48A34FC5-F8CC-4C4D-B868-DA2143B4E510}"/>
    <cellStyle name="Porcentagem" xfId="1" builtinId="5"/>
    <cellStyle name="Row Name - IBM Cognos" xfId="70" xr:uid="{11947B4C-D361-48A5-A7EA-3E6F30C51341}"/>
    <cellStyle name="Row Template - IBM Cognos" xfId="71" xr:uid="{792ADDDB-3755-4970-9099-6D4DAA4EF83B}"/>
    <cellStyle name="Summary Column Name - IBM Cognos" xfId="72" xr:uid="{B568ADC7-42C9-41CC-94BA-457F1F034177}"/>
    <cellStyle name="Summary Column Name TM1 - IBM Cognos" xfId="73" xr:uid="{E9C2960D-ED8C-4A87-8B34-B66E8A4DE686}"/>
    <cellStyle name="Summary Row Name - IBM Cognos" xfId="74" xr:uid="{995C2922-1FAD-40B9-8281-DD8EBBFBCD29}"/>
    <cellStyle name="Summary Row Name TM1 - IBM Cognos" xfId="75" xr:uid="{F6B1D889-60A3-45B8-B9FA-8F9B59DCE361}"/>
    <cellStyle name="Unsaved Change - IBM Cognos" xfId="76" xr:uid="{296E5FA9-E2F7-4A7C-897A-76894565CCB5}"/>
  </cellStyles>
  <dxfs count="189"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</dxfs>
  <tableStyles count="0" defaultTableStyle="TableStyleMedium2" defaultPivotStyle="PivotStyleLight16"/>
  <colors>
    <mruColors>
      <color rgb="FF0000BF"/>
      <color rgb="FF00A84C"/>
      <color rgb="FFC0C0C0"/>
      <color rgb="FF6F8DB9"/>
      <color rgb="FFED7D31"/>
      <color rgb="FFE97132"/>
      <color rgb="FF3A3A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Fx'!$A$60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37-4849-8735-BD33B4E73F6A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Fx'!$A$61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37-4849-8735-BD33B4E73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Fx'!$A$65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4-42E9-BFF8-43952C96211E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Fx'!$A$66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F4-42E9-BFF8-43952C962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Fx'!$A$70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6D-4619-83D1-64346F08A43E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Fx'!$A$71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6D-4619-83D1-64346F08A43E}"/>
            </c:ext>
          </c:extLst>
        </c:ser>
        <c:ser>
          <c:idx val="2"/>
          <c:order val="2"/>
          <c:spPr>
            <a:solidFill>
              <a:srgbClr val="ED7D3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6D-4619-83D1-64346F08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Fx'!$A$75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3-4485-BA45-ED058AA44945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Fx'!$A$76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33-4485-BA45-ED058AA44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Fx'!$A$80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2-41AF-A1EA-254ED359848C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Fx'!$A$81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2-41AF-A1EA-254ED3598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dLbl>
              <c:idx val="0"/>
              <c:layout>
                <c:manualLayout>
                  <c:x val="2.0125786163521966E-2"/>
                  <c:y val="2.6862331608080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4E-41D5-BD53-88A5D86D64C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Fx'!$A$85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9-4373-88C5-80FE09363D45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Fx'!$A$86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9-4373-88C5-80FE09363D45}"/>
            </c:ext>
          </c:extLst>
        </c:ser>
        <c:ser>
          <c:idx val="2"/>
          <c:order val="2"/>
          <c:spPr>
            <a:solidFill>
              <a:srgbClr val="E9713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Fx'!$A$87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39-4373-88C5-80FE09363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Fx'!$A$91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3-496D-AE80-64C9A00C7EF6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Fx'!$A$92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3-496D-AE80-64C9A00C7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Fx'!$A$96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2-4D39-8841-84B5DFA0F7D8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Fx'!$A$97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2-4D39-8841-84B5DFA0F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Fx'!$A$101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3-4BB1-9D08-94E7DE0C5550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Fx'!$A$102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3-4BB1-9D08-94E7DE0C5550}"/>
            </c:ext>
          </c:extLst>
        </c:ser>
        <c:ser>
          <c:idx val="2"/>
          <c:order val="2"/>
          <c:spPr>
            <a:solidFill>
              <a:srgbClr val="E9713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3-4BB1-9D08-94E7DE0C5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843137254901962E-2"/>
          <c:y val="0.48519362186788156"/>
          <c:w val="0.8243137254901961"/>
          <c:h val="0.1753986332574031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6F8DB9"/>
              </a:solidFill>
            </c:spPr>
            <c:extLst>
              <c:ext xmlns:c16="http://schemas.microsoft.com/office/drawing/2014/chart" uri="{C3380CC4-5D6E-409C-BE32-E72D297353CC}">
                <c16:uniqueId val="{00000002-7B34-49A4-B8DC-4CE881E4FF0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4-49A4-B8DC-4CE881E4FF09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Fx'!$A$108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4-49A4-B8DC-4CE881E4F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35864"/>
        <c:axId val="1"/>
      </c:barChart>
      <c:catAx>
        <c:axId val="11292358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313.05836407858669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129235864"/>
        <c:crosses val="min"/>
        <c:crossBetween val="between"/>
      </c:valAx>
    </c:plotArea>
    <c:plotVisOnly val="0"/>
    <c:dispBlanksAs val="gap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81132075471697"/>
          <c:y val="0.39766081871345027"/>
          <c:w val="0.660377358490566"/>
          <c:h val="0.325536062378167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Fx'!$A$112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5-449A-98A6-F4E47269E58F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Fx'!$A$113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5-449A-98A6-F4E47269E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84522944"/>
        <c:axId val="1"/>
      </c:barChart>
      <c:catAx>
        <c:axId val="11845229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692.8067893621806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845229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006289308176"/>
          <c:y val="0.34459459459459457"/>
          <c:w val="0.76540880503144659"/>
          <c:h val="0.41554054054054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6F8DB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Fx'!$A$117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2-4456-AE87-E359AEC04350}"/>
            </c:ext>
          </c:extLst>
        </c:ser>
        <c:ser>
          <c:idx val="1"/>
          <c:order val="1"/>
          <c:spPr>
            <a:solidFill>
              <a:srgbClr val="0000B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Fx'!$A$118</c:f>
              <c:numCache>
                <c:formatCode>#,##0_);\(#,##0\)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2-4456-AE87-E359AEC04350}"/>
            </c:ext>
          </c:extLst>
        </c:ser>
        <c:ser>
          <c:idx val="2"/>
          <c:order val="2"/>
          <c:spPr>
            <a:solidFill>
              <a:srgbClr val="E9713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'Summary  - Fx'!$A$119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2-4456-AE87-E359AEC04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29240544"/>
        <c:axId val="1"/>
      </c:barChart>
      <c:catAx>
        <c:axId val="11292405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none"/>
        <c:minorTickMark val="none"/>
        <c:tickLblPos val="none"/>
        <c:spPr>
          <a:ln w="9525" cmpd="sng" algn="ctr">
            <a:solidFill>
              <a:schemeClr val="tx1"/>
            </a:solidFill>
            <a:prstDash val="solid"/>
          </a:ln>
        </c:spPr>
        <c:crossAx val="1"/>
        <c:crosses val="min"/>
        <c:auto val="0"/>
        <c:lblAlgn val="ctr"/>
        <c:lblOffset val="100"/>
        <c:noMultiLvlLbl val="0"/>
      </c:catAx>
      <c:valAx>
        <c:axId val="1"/>
        <c:scaling>
          <c:orientation val="minMax"/>
          <c:max val="2945.7999260134429"/>
          <c:min val="0"/>
        </c:scaling>
        <c:delete val="1"/>
        <c:axPos val="l"/>
        <c:numFmt formatCode="#,##0_);\(#,##0\)" sourceLinked="1"/>
        <c:majorTickMark val="out"/>
        <c:minorTickMark val="none"/>
        <c:tickLblPos val="nextTo"/>
        <c:crossAx val="1129240544"/>
        <c:crosses val="min"/>
        <c:crossBetween val="between"/>
      </c:valAx>
    </c:plotArea>
    <c:plotVisOnly val="0"/>
    <c:dispBlanksAs val="zero"/>
    <c:showDLblsOverMax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Volumes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- VCNA</a:t>
            </a:r>
            <a:endParaRPr lang="pt-BR" b="1">
              <a:solidFill>
                <a:sysClr val="windowText" lastClr="000000"/>
              </a:solidFill>
              <a:latin typeface="Sans Serif Collection" panose="020B0502040504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endParaRPr>
          </a:p>
        </c:rich>
      </c:tx>
      <c:layout>
        <c:manualLayout>
          <c:xMode val="edge"/>
          <c:yMode val="edge"/>
          <c:x val="7.6050687371775395E-4"/>
          <c:y val="5.485423597664098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113376867023448E-2"/>
          <c:y val="9.7520131415222713E-2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Fx'!$B$14</c:f>
              <c:strCache>
                <c:ptCount val="1"/>
                <c:pt idx="0">
                  <c:v>RECALC_0_536_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Fx'!$C$13:$N$13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Fx'!$C$14:$N$14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E-4EAF-BA6E-CAE7A9EFE2CC}"/>
            </c:ext>
          </c:extLst>
        </c:ser>
        <c:ser>
          <c:idx val="1"/>
          <c:order val="1"/>
          <c:tx>
            <c:strRef>
              <c:f>'Cement Volumes &amp; Prices - Fx'!$B$15</c:f>
              <c:strCache>
                <c:ptCount val="1"/>
                <c:pt idx="0">
                  <c:v>RECALC_0_537_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Fx'!$C$13:$N$13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Fx'!$C$15:$N$15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E-4EAF-BA6E-CAE7A9EFE2CC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Volumes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- VCBR</a:t>
            </a:r>
            <a:endParaRPr lang="pt-BR" b="1">
              <a:solidFill>
                <a:sysClr val="windowText" lastClr="000000"/>
              </a:solidFill>
              <a:latin typeface="Sans Serif Collection" panose="020B0502040504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endParaRPr>
          </a:p>
        </c:rich>
      </c:tx>
      <c:layout>
        <c:manualLayout>
          <c:xMode val="edge"/>
          <c:yMode val="edge"/>
          <c:x val="6.1236222602017499E-4"/>
          <c:y val="4.96810048267265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9949447887061454E-2"/>
          <c:y val="0.10393386243386243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Fx'!$B$10</c:f>
              <c:strCache>
                <c:ptCount val="1"/>
                <c:pt idx="0">
                  <c:v>RECALC_0_536_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Fx'!$C$9:$N$9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Fx'!$C$10:$N$10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7-489B-A235-2AEA492C4215}"/>
            </c:ext>
          </c:extLst>
        </c:ser>
        <c:ser>
          <c:idx val="1"/>
          <c:order val="1"/>
          <c:tx>
            <c:strRef>
              <c:f>'Cement Volumes &amp; Prices - Fx'!$B$11</c:f>
              <c:strCache>
                <c:ptCount val="1"/>
                <c:pt idx="0">
                  <c:v>RECALC_0_537_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2.9304638700269964E-2"/>
                  <c:y val="-0.159807447373704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F7-489B-A235-2AEA492C4215}"/>
                </c:ext>
              </c:extLst>
            </c:dLbl>
            <c:dLbl>
              <c:idx val="9"/>
              <c:layout>
                <c:manualLayout>
                  <c:x val="-2.9304638700269826E-2"/>
                  <c:y val="-0.176204244704770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F7-489B-A235-2AEA492C42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Fx'!$C$9:$N$9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Fx'!$C$11:$N$11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F7-489B-A235-2AEA492C421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Volumes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- VCEA</a:t>
            </a:r>
            <a:endParaRPr lang="pt-BR" b="1">
              <a:solidFill>
                <a:sysClr val="windowText" lastClr="000000"/>
              </a:solidFill>
              <a:latin typeface="Sans Serif Collection" panose="020B0502040504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endParaRPr>
          </a:p>
        </c:rich>
      </c:tx>
      <c:layout>
        <c:manualLayout>
          <c:xMode val="edge"/>
          <c:yMode val="edge"/>
          <c:x val="1.0631483564554423E-3"/>
          <c:y val="8.1843476980206892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0872983789616776E-2"/>
          <c:y val="0.12781237741255375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Fx'!$B$18</c:f>
              <c:strCache>
                <c:ptCount val="1"/>
                <c:pt idx="0">
                  <c:v>RECALC_0_536_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Fx'!$C$17:$N$17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Fx'!$C$18:$N$18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7-4924-8CE9-7316054C0D9B}"/>
            </c:ext>
          </c:extLst>
        </c:ser>
        <c:ser>
          <c:idx val="1"/>
          <c:order val="1"/>
          <c:tx>
            <c:strRef>
              <c:f>'Cement Volumes &amp; Prices - Fx'!$B$19</c:f>
              <c:strCache>
                <c:ptCount val="1"/>
                <c:pt idx="0">
                  <c:v>RECALC_0_537_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Fx'!$C$17:$N$17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Fx'!$C$19:$N$19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67-4924-8CE9-7316054C0D9B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Volumes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- VCLatam</a:t>
            </a:r>
            <a:endParaRPr lang="pt-BR" b="1">
              <a:solidFill>
                <a:sysClr val="windowText" lastClr="000000"/>
              </a:solidFill>
              <a:latin typeface="Sans Serif Collection" panose="020B0502040504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endParaRPr>
          </a:p>
        </c:rich>
      </c:tx>
      <c:layout>
        <c:manualLayout>
          <c:xMode val="edge"/>
          <c:yMode val="edge"/>
          <c:x val="1.1008953845097519E-3"/>
          <c:y val="7.531350247885719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6666171009245249E-2"/>
          <c:y val="9.9897082695481684E-2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Fx'!$B$22</c:f>
              <c:strCache>
                <c:ptCount val="1"/>
                <c:pt idx="0">
                  <c:v>RECALC_0_536_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Fx'!$C$21:$N$21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Fx'!$C$22:$N$22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0-404F-8864-BC38C347F765}"/>
            </c:ext>
          </c:extLst>
        </c:ser>
        <c:ser>
          <c:idx val="1"/>
          <c:order val="1"/>
          <c:tx>
            <c:strRef>
              <c:f>'Cement Volumes &amp; Prices - Fx'!$B$23</c:f>
              <c:strCache>
                <c:ptCount val="1"/>
                <c:pt idx="0">
                  <c:v>RECALC_0_537_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Fx'!$C$21:$N$21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Fx'!$C$23:$N$23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C0-404F-8864-BC38C347F76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Price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(BRL/t) - VCBR</a:t>
            </a:r>
            <a:endParaRPr lang="pt-BR" b="1">
              <a:solidFill>
                <a:sysClr val="windowText" lastClr="000000"/>
              </a:solidFill>
              <a:latin typeface="Sans Serif Collection" panose="020B0502040504020204" pitchFamily="34" charset="0"/>
              <a:ea typeface="Sans Serif Collection" panose="020B0502040504020204" pitchFamily="34" charset="0"/>
              <a:cs typeface="Sans Serif Collection" panose="020B0502040504020204" pitchFamily="34" charset="0"/>
            </a:endParaRPr>
          </a:p>
        </c:rich>
      </c:tx>
      <c:layout>
        <c:manualLayout>
          <c:xMode val="edge"/>
          <c:yMode val="edge"/>
          <c:x val="1.0833433257391044E-3"/>
          <c:y val="7.531350247885719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9458423015989168E-2"/>
          <c:y val="0.12429006166157344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Fx'!$B$27</c:f>
              <c:strCache>
                <c:ptCount val="1"/>
                <c:pt idx="0">
                  <c:v>RECALC_0_536_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Fx'!$C$27:$N$27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5-47E9-9875-CCF086F88678}"/>
            </c:ext>
          </c:extLst>
        </c:ser>
        <c:ser>
          <c:idx val="1"/>
          <c:order val="1"/>
          <c:tx>
            <c:strRef>
              <c:f>'Cement Volumes &amp; Prices - Fx'!$B$28</c:f>
              <c:strCache>
                <c:ptCount val="1"/>
                <c:pt idx="0">
                  <c:v>RECALC_0_537_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Fx'!$C$28:$N$28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5-47E9-9875-CCF086F8867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Price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(BRL/t) - VCNA</a:t>
            </a:r>
            <a:endParaRPr lang="pt-BR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1.6507725072692809E-4"/>
          <c:y val="2.142195767195766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9821005423273209E-2"/>
          <c:y val="0.12541666666666668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Fx'!$B$31</c:f>
              <c:strCache>
                <c:ptCount val="1"/>
                <c:pt idx="0">
                  <c:v>RECALC_0_536_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Fx'!$C$30:$N$30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Fx'!$C$31:$N$31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0-4E18-AC6A-FC95312BFA28}"/>
            </c:ext>
          </c:extLst>
        </c:ser>
        <c:ser>
          <c:idx val="1"/>
          <c:order val="1"/>
          <c:tx>
            <c:strRef>
              <c:f>'Cement Volumes &amp; Prices - Fx'!$B$32</c:f>
              <c:strCache>
                <c:ptCount val="1"/>
                <c:pt idx="0">
                  <c:v>RECALC_0_537_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Fx'!$C$30:$N$30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Fx'!$C$32:$N$32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A0-4E18-AC6A-FC95312BFA2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Price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(BRL/t) - VCEA</a:t>
            </a:r>
            <a:endParaRPr lang="pt-BR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8.188976377952754E-5"/>
          <c:y val="4.417098733839202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7124999999999998E-2"/>
          <c:y val="0.14658333333333334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Fx'!$B$35</c:f>
              <c:strCache>
                <c:ptCount val="1"/>
                <c:pt idx="0">
                  <c:v>RECALC_0_536_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Fx'!$C$34:$N$34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Fx'!$C$35:$N$35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F-49A1-B3C1-0AB2EB1BE6C5}"/>
            </c:ext>
          </c:extLst>
        </c:ser>
        <c:ser>
          <c:idx val="1"/>
          <c:order val="1"/>
          <c:tx>
            <c:strRef>
              <c:f>'Cement Volumes &amp; Prices - Fx'!$B$36</c:f>
              <c:strCache>
                <c:ptCount val="1"/>
                <c:pt idx="0">
                  <c:v>RECALC_0_537_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Fx'!$C$34:$N$34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Fx'!$C$36:$N$36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F-49A1-B3C1-0AB2EB1BE6C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Price</a:t>
            </a:r>
            <a:r>
              <a:rPr lang="pt-BR" b="1" baseline="0">
                <a:solidFill>
                  <a:sysClr val="windowText" lastClr="000000"/>
                </a:solidFill>
                <a:latin typeface="Sans Serif Collection" panose="020B0502040504020204" pitchFamily="34" charset="0"/>
                <a:ea typeface="Sans Serif Collection" panose="020B0502040504020204" pitchFamily="34" charset="0"/>
                <a:cs typeface="Sans Serif Collection" panose="020B0502040504020204" pitchFamily="34" charset="0"/>
              </a:rPr>
              <a:t> (BRL/t) - VCLatam</a:t>
            </a:r>
            <a:endParaRPr lang="pt-BR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1.1715772287003712E-3"/>
          <c:y val="4.41395502645502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3402433187859441E-3"/>
          <c:y val="0.12541666666666668"/>
          <c:w val="0.93888888888888888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'Cement Volumes &amp; Prices - Fx'!$B$39</c:f>
              <c:strCache>
                <c:ptCount val="1"/>
                <c:pt idx="0">
                  <c:v>RECALC_0_536_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Fx'!$C$38:$N$38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Fx'!$C$39:$N$39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4-4756-A603-721C5101F562}"/>
            </c:ext>
          </c:extLst>
        </c:ser>
        <c:ser>
          <c:idx val="1"/>
          <c:order val="1"/>
          <c:tx>
            <c:strRef>
              <c:f>'Cement Volumes &amp; Prices - Fx'!$B$40</c:f>
              <c:strCache>
                <c:ptCount val="1"/>
                <c:pt idx="0">
                  <c:v>RECALC_0_537_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'Cement Volumes &amp; Prices - Fx'!$C$38:$N$38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'Cement Volumes &amp; Prices - Fx'!$C$40:$N$40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4-4756-A603-721C5101F56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60127024"/>
        <c:axId val="1960121264"/>
      </c:lineChart>
      <c:catAx>
        <c:axId val="196012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121264"/>
        <c:crosses val="autoZero"/>
        <c:auto val="1"/>
        <c:lblAlgn val="ctr"/>
        <c:lblOffset val="100"/>
        <c:noMultiLvlLbl val="0"/>
      </c:catAx>
      <c:valAx>
        <c:axId val="19601212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601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0685217745835E-2"/>
          <c:y val="0.24322161652870314"/>
          <c:w val="0.86348840769903767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'EBITDA - Fx'!$C$23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'EBITDA - Fx'!$D$22:$G$22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'EBITDA - Fx'!$D$23:$G$23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4-4515-A5B9-28B7B18187C4}"/>
            </c:ext>
          </c:extLst>
        </c:ser>
        <c:ser>
          <c:idx val="1"/>
          <c:order val="1"/>
          <c:tx>
            <c:strRef>
              <c:f>'EBITDA - Fx'!$C$24</c:f>
              <c:strCache>
                <c:ptCount val="1"/>
                <c:pt idx="0">
                  <c:v>L300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'EBITDA - Fx'!$D$22:$G$22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'EBITDA - Fx'!$D$24:$G$24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D4-4515-A5B9-28B7B18187C4}"/>
            </c:ext>
          </c:extLst>
        </c:ser>
        <c:ser>
          <c:idx val="2"/>
          <c:order val="2"/>
          <c:tx>
            <c:strRef>
              <c:f>'EBITDA - Fx'!$C$25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'EBITDA - Fx'!$D$22:$G$22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'EBITDA - Fx'!$D$25:$G$25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D4-4515-A5B9-28B7B18187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0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923629829290206E-2"/>
          <c:y val="0"/>
          <c:w val="0.9505840071877808"/>
          <c:h val="0.91143317230273757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C0C0C0"/>
            </a:solidFill>
            <a:ln>
              <a:noFill/>
            </a:ln>
            <a:effectLst/>
          </c:spPr>
          <c:invertIfNegative val="1"/>
          <c:dPt>
            <c:idx val="1"/>
            <c:invertIfNegative val="1"/>
            <c:bubble3D val="0"/>
            <c:spPr>
              <a:solidFill>
                <a:srgbClr val="6F8D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43-49D8-90A0-7A726B3AC7B2}"/>
              </c:ext>
            </c:extLst>
          </c:dPt>
          <c:dPt>
            <c:idx val="2"/>
            <c:invertIfNegative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43-49D8-90A0-7A726B3AC7B2}"/>
              </c:ext>
            </c:extLst>
          </c:dPt>
          <c:dPt>
            <c:idx val="3"/>
            <c:invertIfNegative val="1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F43-49D8-90A0-7A726B3AC7B2}"/>
              </c:ext>
            </c:extLst>
          </c:dPt>
          <c:dPt>
            <c:idx val="8"/>
            <c:invertIfNegative val="1"/>
            <c:bubble3D val="0"/>
            <c:spPr>
              <a:solidFill>
                <a:srgbClr val="0000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F43-49D8-90A0-7A726B3AC7B2}"/>
              </c:ext>
            </c:extLst>
          </c:dPt>
          <c:dLbls>
            <c:dLbl>
              <c:idx val="1"/>
              <c:layout>
                <c:manualLayout>
                  <c:x val="-2.2461814914645105E-3"/>
                  <c:y val="-0.2777777777777777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43-49D8-90A0-7A726B3AC7B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43-49D8-90A0-7A726B3AC7B2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43-49D8-90A0-7A726B3AC7B2}"/>
                </c:ext>
              </c:extLst>
            </c:dLbl>
            <c:dLbl>
              <c:idx val="8"/>
              <c:layout>
                <c:manualLayout>
                  <c:x val="0"/>
                  <c:y val="-0.3341384863123993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F43-49D8-90A0-7A726B3AC7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'EBITDA - Fx'!$L$24:$T$24</c:f>
              <c:strCache>
                <c:ptCount val="9"/>
                <c:pt idx="0">
                  <c:v>#VALUE!</c:v>
                </c:pt>
                <c:pt idx="1">
                  <c:v>L300</c:v>
                </c:pt>
                <c:pt idx="2">
                  <c:v>VCBR</c:v>
                </c:pt>
                <c:pt idx="3">
                  <c:v>VCNA</c:v>
                </c:pt>
                <c:pt idx="4">
                  <c:v>VCEA</c:v>
                </c:pt>
                <c:pt idx="5">
                  <c:v>VCLATAM</c:v>
                </c:pt>
                <c:pt idx="6">
                  <c:v>Others</c:v>
                </c:pt>
                <c:pt idx="7">
                  <c:v>FX</c:v>
                </c:pt>
                <c:pt idx="8">
                  <c:v>RECALC_0_7_</c:v>
                </c:pt>
              </c:strCache>
            </c:strRef>
          </c:cat>
          <c:val>
            <c:numRef>
              <c:f>'EBITDA - Fx'!$L$25:$T$25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C0C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F43-49D8-90A0-7A726B3AC7B2}"/>
            </c:ext>
          </c:extLst>
        </c:ser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0.100644122383252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43-49D8-90A0-7A726B3AC7B2}"/>
                </c:ext>
              </c:extLst>
            </c:dLbl>
            <c:dLbl>
              <c:idx val="3"/>
              <c:layout>
                <c:manualLayout>
                  <c:x val="2.2461814914645105E-3"/>
                  <c:y val="-0.229468599033816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43-49D8-90A0-7A726B3AC7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'EBITDA - Fx'!$L$24:$T$24</c:f>
              <c:strCache>
                <c:ptCount val="9"/>
                <c:pt idx="0">
                  <c:v>#VALUE!</c:v>
                </c:pt>
                <c:pt idx="1">
                  <c:v>L300</c:v>
                </c:pt>
                <c:pt idx="2">
                  <c:v>VCBR</c:v>
                </c:pt>
                <c:pt idx="3">
                  <c:v>VCNA</c:v>
                </c:pt>
                <c:pt idx="4">
                  <c:v>VCEA</c:v>
                </c:pt>
                <c:pt idx="5">
                  <c:v>VCLATAM</c:v>
                </c:pt>
                <c:pt idx="6">
                  <c:v>Others</c:v>
                </c:pt>
                <c:pt idx="7">
                  <c:v>FX</c:v>
                </c:pt>
                <c:pt idx="8">
                  <c:v>RECALC_0_7_</c:v>
                </c:pt>
              </c:strCache>
            </c:strRef>
          </c:cat>
          <c:val>
            <c:numRef>
              <c:f>'EBITDA - Fx'!$L$26:$T$26</c:f>
              <c:numCache>
                <c:formatCode>General</c:formatCode>
                <c:ptCount val="9"/>
                <c:pt idx="2" formatCode="#,##0">
                  <c:v>0</c:v>
                </c:pt>
                <c:pt idx="3" formatCode="#,##0">
                  <c:v>0</c:v>
                </c:pt>
                <c:pt idx="4" formatCode="#,##0">
                  <c:v>0</c:v>
                </c:pt>
                <c:pt idx="5" formatCode="#,##0">
                  <c:v>0</c:v>
                </c:pt>
                <c:pt idx="6" formatCode="#,##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43-49D8-90A0-7A726B3AC7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9450352"/>
        <c:axId val="1099465232"/>
      </c:barChart>
      <c:catAx>
        <c:axId val="109945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9465232"/>
        <c:crosses val="autoZero"/>
        <c:auto val="1"/>
        <c:lblAlgn val="ctr"/>
        <c:lblOffset val="100"/>
        <c:noMultiLvlLbl val="0"/>
      </c:catAx>
      <c:valAx>
        <c:axId val="109946523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099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66005950154821E-2"/>
          <c:y val="0.30345765989777596"/>
          <c:w val="0.86348840769903767"/>
          <c:h val="0.671457786526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'Cash Generation - Fx'!$A$9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C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Generation - Fx'!$B$8:$E$8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'Cash Generation - Fx'!$B$9:$E$9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C-4926-989D-CC8835F16275}"/>
            </c:ext>
          </c:extLst>
        </c:ser>
        <c:ser>
          <c:idx val="1"/>
          <c:order val="1"/>
          <c:tx>
            <c:strRef>
              <c:f>'Cash Generation - Fx'!$A$10</c:f>
              <c:strCache>
                <c:ptCount val="1"/>
                <c:pt idx="0">
                  <c:v>L300</c:v>
                </c:pt>
              </c:strCache>
            </c:strRef>
          </c:tx>
          <c:spPr>
            <a:solidFill>
              <a:srgbClr val="6F8DB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Generation - Fx'!$B$8:$E$8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'Cash Generation - Fx'!$B$10:$E$10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C-4926-989D-CC8835F16275}"/>
            </c:ext>
          </c:extLst>
        </c:ser>
        <c:ser>
          <c:idx val="2"/>
          <c:order val="2"/>
          <c:tx>
            <c:strRef>
              <c:f>'Cash Generation - Fx'!$A$11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rgbClr val="0000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Generation - Fx'!$B$8:$E$8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'Cash Generation - Fx'!$B$11:$E$11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DC-4926-989D-CC8835F162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74764880"/>
        <c:axId val="474770160"/>
      </c:barChart>
      <c:catAx>
        <c:axId val="47476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770160"/>
        <c:crosses val="autoZero"/>
        <c:auto val="0"/>
        <c:lblAlgn val="ctr"/>
        <c:lblOffset val="100"/>
        <c:noMultiLvlLbl val="0"/>
      </c:catAx>
      <c:valAx>
        <c:axId val="4747701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47476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mailto:=@SUBNM(%22CONS_VC:ALL.D.Year%22;%22%22;%222026%22;%22MEMBER_NAME%22)#=@SUBNM(&quot;CONS_VC:ALL.D.Year&quot;;&quot;&quot;;&quot;2026&quot;;&quot;MEMBER_NAME&quot;)" TargetMode="External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image" Target="../media/image3.svg"/><Relationship Id="rId4" Type="http://schemas.openxmlformats.org/officeDocument/2006/relationships/chart" Target="../charts/chart16.xml"/><Relationship Id="rId9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21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241300</xdr:colOff>
      <xdr:row>45</xdr:row>
      <xdr:rowOff>76200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6DBBB4C-915F-4057-B331-B346276B231A}"/>
            </a:ext>
          </a:extLst>
        </xdr:cNvPr>
        <xdr:cNvSpPr/>
      </xdr:nvSpPr>
      <xdr:spPr>
        <a:xfrm>
          <a:off x="0" y="0"/>
          <a:ext cx="22781260" cy="8305800"/>
        </a:xfrm>
        <a:prstGeom prst="rect">
          <a:avLst/>
        </a:prstGeom>
        <a:gradFill flip="none" rotWithShape="1">
          <a:gsLst>
            <a:gs pos="44000">
              <a:srgbClr val="0432FF"/>
            </a:gs>
            <a:gs pos="100000">
              <a:schemeClr val="bg1">
                <a:alpha val="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12700</xdr:colOff>
      <xdr:row>0</xdr:row>
      <xdr:rowOff>12700</xdr:rowOff>
    </xdr:from>
    <xdr:to>
      <xdr:col>17</xdr:col>
      <xdr:colOff>58420</xdr:colOff>
      <xdr:row>49</xdr:row>
      <xdr:rowOff>43181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B49DCB-73B5-4611-9D7F-0D1203A57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2700" y="12700"/>
          <a:ext cx="13258800" cy="8991601"/>
        </a:xfrm>
        <a:prstGeom prst="rect">
          <a:avLst/>
        </a:prstGeom>
      </xdr:spPr>
    </xdr:pic>
    <xdr:clientData/>
  </xdr:twoCellAnchor>
  <xdr:twoCellAnchor>
    <xdr:from>
      <xdr:col>11</xdr:col>
      <xdr:colOff>499505</xdr:colOff>
      <xdr:row>0</xdr:row>
      <xdr:rowOff>77207</xdr:rowOff>
    </xdr:from>
    <xdr:to>
      <xdr:col>13</xdr:col>
      <xdr:colOff>644542</xdr:colOff>
      <xdr:row>49</xdr:row>
      <xdr:rowOff>14539</xdr:rowOff>
    </xdr:to>
    <xdr:sp macro="" textlink="">
      <xdr:nvSpPr>
        <xdr:cNvPr id="4" name="Forma Livre: Forma 7">
          <a:extLst>
            <a:ext uri="{FF2B5EF4-FFF2-40B4-BE49-F238E27FC236}">
              <a16:creationId xmlns:a16="http://schemas.microsoft.com/office/drawing/2014/main" id="{0CF29A17-06BA-4A1F-B032-9434C83CD4E8}"/>
            </a:ext>
          </a:extLst>
        </xdr:cNvPr>
        <xdr:cNvSpPr/>
      </xdr:nvSpPr>
      <xdr:spPr>
        <a:xfrm rot="21080737">
          <a:off x="9049145" y="77207"/>
          <a:ext cx="1699517" cy="8898452"/>
        </a:xfrm>
        <a:custGeom>
          <a:avLst/>
          <a:gdLst>
            <a:gd name="connsiteX0" fmla="*/ 0 w 1323975"/>
            <a:gd name="connsiteY0" fmla="*/ 0 h 5010150"/>
            <a:gd name="connsiteX1" fmla="*/ 1323975 w 1323975"/>
            <a:gd name="connsiteY1" fmla="*/ 5010150 h 50101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323975" h="5010150">
              <a:moveTo>
                <a:pt x="0" y="0"/>
              </a:moveTo>
              <a:lnTo>
                <a:pt x="1323975" y="5010150"/>
              </a:lnTo>
            </a:path>
          </a:pathLst>
        </a:custGeom>
        <a:noFill/>
        <a:ln w="34925" cap="rnd">
          <a:solidFill>
            <a:schemeClr val="bg1"/>
          </a:solidFill>
          <a:prstDash val="sysDot"/>
          <a:round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="horz" wrap="square" lIns="121919" tIns="60959" rIns="121919" bIns="60959" numCol="1" spcCol="38100" rtlCol="0" anchor="t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1219170" eaLnBrk="1" fontAlgn="auto" latinLnBrk="1">
            <a:spcBef>
              <a:spcPts val="0"/>
            </a:spcBef>
            <a:spcAft>
              <a:spcPts val="0"/>
            </a:spcAft>
            <a:defRPr/>
          </a:pPr>
          <a:endParaRPr lang="pt-BR" sz="2400" kern="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 editAs="oneCell">
    <xdr:from>
      <xdr:col>0</xdr:col>
      <xdr:colOff>565072</xdr:colOff>
      <xdr:row>9</xdr:row>
      <xdr:rowOff>21191</xdr:rowOff>
    </xdr:from>
    <xdr:to>
      <xdr:col>5</xdr:col>
      <xdr:colOff>741177</xdr:colOff>
      <xdr:row>14</xdr:row>
      <xdr:rowOff>28339</xdr:rowOff>
    </xdr:to>
    <xdr:pic>
      <xdr:nvPicPr>
        <xdr:cNvPr id="5" name="Gráfico 13">
          <a:extLst>
            <a:ext uri="{FF2B5EF4-FFF2-40B4-BE49-F238E27FC236}">
              <a16:creationId xmlns:a16="http://schemas.microsoft.com/office/drawing/2014/main" id="{B5B497FA-C5F3-497E-9948-4B664BEDA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65072" y="1667111"/>
          <a:ext cx="4062305" cy="921548"/>
        </a:xfrm>
        <a:prstGeom prst="rect">
          <a:avLst/>
        </a:prstGeom>
      </xdr:spPr>
    </xdr:pic>
    <xdr:clientData/>
  </xdr:twoCellAnchor>
  <xdr:twoCellAnchor>
    <xdr:from>
      <xdr:col>15</xdr:col>
      <xdr:colOff>144780</xdr:colOff>
      <xdr:row>27</xdr:row>
      <xdr:rowOff>77890</xdr:rowOff>
    </xdr:from>
    <xdr:to>
      <xdr:col>23</xdr:col>
      <xdr:colOff>76200</xdr:colOff>
      <xdr:row>35</xdr:row>
      <xdr:rowOff>129540</xdr:rowOff>
    </xdr:to>
    <xdr:sp macro="" textlink="">
      <xdr:nvSpPr>
        <xdr:cNvPr id="6" name="Modelo de  apresentação">
          <a:extLst>
            <a:ext uri="{FF2B5EF4-FFF2-40B4-BE49-F238E27FC236}">
              <a16:creationId xmlns:a16="http://schemas.microsoft.com/office/drawing/2014/main" id="{48141635-B712-4695-BDD6-0C03B1F2341A}"/>
            </a:ext>
          </a:extLst>
        </xdr:cNvPr>
        <xdr:cNvSpPr txBox="1"/>
      </xdr:nvSpPr>
      <xdr:spPr>
        <a:xfrm>
          <a:off x="11803380" y="5015650"/>
          <a:ext cx="6149340" cy="1514690"/>
        </a:xfrm>
        <a:prstGeom prst="rect">
          <a:avLst/>
        </a:prstGeom>
        <a:ln w="25400">
          <a:miter lim="400000"/>
        </a:ln>
        <a:extLst>
          <a:ext uri="{C572A759-6A51-4108-AA02-DFA0A04FC94B}">
            <ma14:wrappingTextBoxFlag xmlns:r="http://schemas.openxmlformats.org/officeDocument/2006/relationships" xmlns:p="http://schemas.openxmlformats.org/presentationml/2006/main" xmlns:ma14="http://schemas.microsoft.com/office/mac/drawingml/2011/main" xmlns:a14="http://schemas.microsoft.com/office/drawing/2010/main" xmlns:m="http://schemas.openxmlformats.org/officeDocument/2006/math" xmlns="" xmlns:lc="http://schemas.openxmlformats.org/drawingml/2006/lockedCanvas" val="1"/>
          </a:ext>
        </a:extLst>
      </xdr:spPr>
      <xdr:txBody>
        <a:bodyPr wrap="square" tIns="45720" bIns="45720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>
            <a:lnSpc>
              <a:spcPts val="5500"/>
            </a:lnSpc>
            <a:spcBef>
              <a:spcPts val="0"/>
            </a:spcBef>
            <a:spcAft>
              <a:spcPts val="0"/>
            </a:spcAft>
            <a:defRPr sz="12600">
              <a:solidFill>
                <a:srgbClr val="0000B7"/>
              </a:solidFill>
              <a:latin typeface="Votorantim Sans Bold"/>
              <a:ea typeface="Votorantim Sans Bold"/>
              <a:cs typeface="Votorantim Sans Bold"/>
              <a:sym typeface="Votorantim Sans Bold"/>
            </a:defRPr>
          </a:pPr>
          <a:r>
            <a:rPr lang="en-US" sz="4000" b="1" kern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sym typeface="Votorantim Sans Bold"/>
            </a:rPr>
            <a:t>Global Results</a:t>
          </a:r>
        </a:p>
      </xdr:txBody>
    </xdr:sp>
    <xdr:clientData/>
  </xdr:twoCellAnchor>
  <xdr:twoCellAnchor editAs="oneCell">
    <xdr:from>
      <xdr:col>21</xdr:col>
      <xdr:colOff>443623</xdr:colOff>
      <xdr:row>34</xdr:row>
      <xdr:rowOff>4102</xdr:rowOff>
    </xdr:from>
    <xdr:to>
      <xdr:col>22</xdr:col>
      <xdr:colOff>385205</xdr:colOff>
      <xdr:row>37</xdr:row>
      <xdr:rowOff>126024</xdr:rowOff>
    </xdr:to>
    <xdr:pic>
      <xdr:nvPicPr>
        <xdr:cNvPr id="8" name="Image" descr="Image">
          <a:extLst>
            <a:ext uri="{FF2B5EF4-FFF2-40B4-BE49-F238E27FC236}">
              <a16:creationId xmlns:a16="http://schemas.microsoft.com/office/drawing/2014/main" id="{8C6F8690-286B-4FAA-B127-BF69EB1BE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65663" y="6222022"/>
          <a:ext cx="718822" cy="670562"/>
        </a:xfrm>
        <a:prstGeom prst="rect">
          <a:avLst/>
        </a:prstGeom>
        <a:ln w="12700">
          <a:miter lim="400000"/>
        </a:ln>
      </xdr:spPr>
    </xdr:pic>
    <xdr:clientData/>
  </xdr:twoCellAnchor>
  <xdr:oneCellAnchor>
    <xdr:from>
      <xdr:col>17</xdr:col>
      <xdr:colOff>238071</xdr:colOff>
      <xdr:row>33</xdr:row>
      <xdr:rowOff>81680</xdr:rowOff>
    </xdr:from>
    <xdr:ext cx="1171629" cy="20788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F9EA434-36A3-B3FD-E7AC-6DF5F7657BD6}"/>
            </a:ext>
          </a:extLst>
        </xdr:cNvPr>
        <xdr:cNvSpPr txBox="1"/>
      </xdr:nvSpPr>
      <xdr:spPr>
        <a:xfrm flipH="1" flipV="1">
          <a:off x="13451151" y="6116720"/>
          <a:ext cx="1171629" cy="207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19</xdr:col>
      <xdr:colOff>0</xdr:colOff>
      <xdr:row>48</xdr:row>
      <xdr:rowOff>0</xdr:rowOff>
    </xdr:from>
    <xdr:to>
      <xdr:col>19</xdr:col>
      <xdr:colOff>685800</xdr:colOff>
      <xdr:row>51</xdr:row>
      <xdr:rowOff>0</xdr:rowOff>
    </xdr:to>
    <xdr:sp macro="" textlink="">
      <xdr:nvSpPr>
        <xdr:cNvPr id="4097" name="Text Box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C5E8E3-BBDA-8A46-62A4-10B16C5A2A38}"/>
            </a:ext>
          </a:extLst>
        </xdr:cNvPr>
        <xdr:cNvSpPr txBox="1">
          <a:spLocks noChangeArrowheads="1"/>
        </xdr:cNvSpPr>
      </xdr:nvSpPr>
      <xdr:spPr bwMode="auto">
        <a:xfrm>
          <a:off x="14767560" y="877824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Aptos Narrow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9</xdr:row>
      <xdr:rowOff>91440</xdr:rowOff>
    </xdr:from>
    <xdr:to>
      <xdr:col>3</xdr:col>
      <xdr:colOff>189950</xdr:colOff>
      <xdr:row>10</xdr:row>
      <xdr:rowOff>26779</xdr:rowOff>
    </xdr:to>
    <xdr:sp macro="" textlink="">
      <xdr:nvSpPr>
        <xdr:cNvPr id="91" name="Retângulo 90">
          <a:extLst>
            <a:ext uri="{FF2B5EF4-FFF2-40B4-BE49-F238E27FC236}">
              <a16:creationId xmlns:a16="http://schemas.microsoft.com/office/drawing/2014/main" id="{4FE7B979-2302-444A-8E81-8E47A9520B7F}"/>
            </a:ext>
          </a:extLst>
        </xdr:cNvPr>
        <xdr:cNvSpPr/>
      </xdr:nvSpPr>
      <xdr:spPr>
        <a:xfrm>
          <a:off x="1775460" y="2133600"/>
          <a:ext cx="403310" cy="1182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396242</xdr:colOff>
      <xdr:row>18</xdr:row>
      <xdr:rowOff>175261</xdr:rowOff>
    </xdr:from>
    <xdr:to>
      <xdr:col>3</xdr:col>
      <xdr:colOff>189952</xdr:colOff>
      <xdr:row>19</xdr:row>
      <xdr:rowOff>110600</xdr:rowOff>
    </xdr:to>
    <xdr:sp macro="" textlink="">
      <xdr:nvSpPr>
        <xdr:cNvPr id="92" name="Retângulo 91">
          <a:extLst>
            <a:ext uri="{FF2B5EF4-FFF2-40B4-BE49-F238E27FC236}">
              <a16:creationId xmlns:a16="http://schemas.microsoft.com/office/drawing/2014/main" id="{ED9885BC-FFC3-4C01-854E-DF2ABB2A9549}"/>
            </a:ext>
          </a:extLst>
        </xdr:cNvPr>
        <xdr:cNvSpPr/>
      </xdr:nvSpPr>
      <xdr:spPr>
        <a:xfrm>
          <a:off x="1775462" y="3947161"/>
          <a:ext cx="403310" cy="1182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388622</xdr:colOff>
      <xdr:row>30</xdr:row>
      <xdr:rowOff>76201</xdr:rowOff>
    </xdr:from>
    <xdr:to>
      <xdr:col>3</xdr:col>
      <xdr:colOff>182332</xdr:colOff>
      <xdr:row>31</xdr:row>
      <xdr:rowOff>11540</xdr:rowOff>
    </xdr:to>
    <xdr:sp macro="" textlink="">
      <xdr:nvSpPr>
        <xdr:cNvPr id="93" name="Retângulo 92">
          <a:extLst>
            <a:ext uri="{FF2B5EF4-FFF2-40B4-BE49-F238E27FC236}">
              <a16:creationId xmlns:a16="http://schemas.microsoft.com/office/drawing/2014/main" id="{5F027618-FE31-42B9-A298-55AAE7778D5A}"/>
            </a:ext>
          </a:extLst>
        </xdr:cNvPr>
        <xdr:cNvSpPr/>
      </xdr:nvSpPr>
      <xdr:spPr>
        <a:xfrm>
          <a:off x="1767842" y="6126481"/>
          <a:ext cx="403310" cy="1182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275671</xdr:colOff>
      <xdr:row>5</xdr:row>
      <xdr:rowOff>240227</xdr:rowOff>
    </xdr:from>
    <xdr:to>
      <xdr:col>14</xdr:col>
      <xdr:colOff>261384</xdr:colOff>
      <xdr:row>5</xdr:row>
      <xdr:rowOff>240227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44C6B7D3-27A9-407A-AA3F-965844EAF32A}"/>
            </a:ext>
          </a:extLst>
        </xdr:cNvPr>
        <xdr:cNvCxnSpPr/>
      </xdr:nvCxnSpPr>
      <xdr:spPr bwMode="auto">
        <a:xfrm>
          <a:off x="8101411" y="1383227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579120</xdr:colOff>
      <xdr:row>7</xdr:row>
      <xdr:rowOff>22860</xdr:rowOff>
    </xdr:from>
    <xdr:to>
      <xdr:col>4</xdr:col>
      <xdr:colOff>392405</xdr:colOff>
      <xdr:row>12</xdr:row>
      <xdr:rowOff>157408</xdr:rowOff>
    </xdr:to>
    <xdr:sp macro="" textlink="">
      <xdr:nvSpPr>
        <xdr:cNvPr id="2" name="Rosca 61">
          <a:extLst>
            <a:ext uri="{FF2B5EF4-FFF2-40B4-BE49-F238E27FC236}">
              <a16:creationId xmlns:a16="http://schemas.microsoft.com/office/drawing/2014/main" id="{446561F7-7E1F-A980-3227-B83E2910EE9B}"/>
            </a:ext>
          </a:extLst>
        </xdr:cNvPr>
        <xdr:cNvSpPr/>
      </xdr:nvSpPr>
      <xdr:spPr>
        <a:xfrm>
          <a:off x="579120" y="1615440"/>
          <a:ext cx="1032485" cy="1048948"/>
        </a:xfrm>
        <a:prstGeom prst="donut">
          <a:avLst>
            <a:gd name="adj" fmla="val 15913"/>
          </a:avLst>
        </a:prstGeom>
        <a:solidFill>
          <a:srgbClr val="96E637"/>
        </a:solidFill>
        <a:ln>
          <a:solidFill>
            <a:srgbClr val="96E63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411480</xdr:colOff>
      <xdr:row>7</xdr:row>
      <xdr:rowOff>15240</xdr:rowOff>
    </xdr:from>
    <xdr:to>
      <xdr:col>3</xdr:col>
      <xdr:colOff>543836</xdr:colOff>
      <xdr:row>9</xdr:row>
      <xdr:rowOff>9716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D1D8D14-6B82-C9F4-256D-F35485F7D883}"/>
            </a:ext>
          </a:extLst>
        </xdr:cNvPr>
        <xdr:cNvSpPr/>
      </xdr:nvSpPr>
      <xdr:spPr>
        <a:xfrm rot="5400000">
          <a:off x="907140" y="1721760"/>
          <a:ext cx="360236" cy="132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525780</xdr:colOff>
      <xdr:row>9</xdr:row>
      <xdr:rowOff>68581</xdr:rowOff>
    </xdr:from>
    <xdr:to>
      <xdr:col>5</xdr:col>
      <xdr:colOff>102458</xdr:colOff>
      <xdr:row>14</xdr:row>
      <xdr:rowOff>54378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F4D5518A-19D7-CA8A-ED84-6053C51F1FD9}"/>
            </a:ext>
          </a:extLst>
        </xdr:cNvPr>
        <xdr:cNvSpPr/>
      </xdr:nvSpPr>
      <xdr:spPr>
        <a:xfrm rot="5400000">
          <a:off x="1784260" y="1987641"/>
          <a:ext cx="717317" cy="79587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>
              <a:cs typeface="Arial" panose="020B0604020202020204" pitchFamily="34" charset="0"/>
            </a:rPr>
            <a:t>15711,83795</a:t>
          </a:r>
        </a:p>
      </xdr:txBody>
    </xdr:sp>
    <xdr:clientData/>
  </xdr:twoCellAnchor>
  <xdr:twoCellAnchor>
    <xdr:from>
      <xdr:col>4</xdr:col>
      <xdr:colOff>65443</xdr:colOff>
      <xdr:row>9</xdr:row>
      <xdr:rowOff>78441</xdr:rowOff>
    </xdr:from>
    <xdr:to>
      <xdr:col>5</xdr:col>
      <xdr:colOff>454063</xdr:colOff>
      <xdr:row>10</xdr:row>
      <xdr:rowOff>151055</xdr:rowOff>
    </xdr:to>
    <xdr:sp macro="" textlink="'Summary  - Fx'!B47">
      <xdr:nvSpPr>
        <xdr:cNvPr id="8" name="CaixaDeTexto 7">
          <a:extLst>
            <a:ext uri="{FF2B5EF4-FFF2-40B4-BE49-F238E27FC236}">
              <a16:creationId xmlns:a16="http://schemas.microsoft.com/office/drawing/2014/main" id="{36A69E25-6DA7-EB98-C6BA-53814416E0E6}"/>
            </a:ext>
          </a:extLst>
        </xdr:cNvPr>
        <xdr:cNvSpPr txBox="1"/>
      </xdr:nvSpPr>
      <xdr:spPr>
        <a:xfrm>
          <a:off x="2665208" y="2113429"/>
          <a:ext cx="998220" cy="2519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4C18011-1686-4427-BA1B-535FA0076FFF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/>
            <a:t>#VALOR!</a:t>
          </a:fld>
          <a:endParaRPr lang="pt-BR" sz="3600" b="1"/>
        </a:p>
      </xdr:txBody>
    </xdr:sp>
    <xdr:clientData/>
  </xdr:twoCellAnchor>
  <xdr:twoCellAnchor>
    <xdr:from>
      <xdr:col>4</xdr:col>
      <xdr:colOff>487680</xdr:colOff>
      <xdr:row>10</xdr:row>
      <xdr:rowOff>167640</xdr:rowOff>
    </xdr:from>
    <xdr:to>
      <xdr:col>6</xdr:col>
      <xdr:colOff>365760</xdr:colOff>
      <xdr:row>12</xdr:row>
      <xdr:rowOff>83820</xdr:rowOff>
    </xdr:to>
    <xdr:sp macro="" textlink="#REF!">
      <xdr:nvSpPr>
        <xdr:cNvPr id="9" name="CaixaDeTexto 8">
          <a:extLst>
            <a:ext uri="{FF2B5EF4-FFF2-40B4-BE49-F238E27FC236}">
              <a16:creationId xmlns:a16="http://schemas.microsoft.com/office/drawing/2014/main" id="{1F4FF182-A572-4489-BDE2-6805949B4EBB}"/>
            </a:ext>
          </a:extLst>
        </xdr:cNvPr>
        <xdr:cNvSpPr txBox="1"/>
      </xdr:nvSpPr>
      <xdr:spPr>
        <a:xfrm>
          <a:off x="3017520" y="2308860"/>
          <a:ext cx="109728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5885C77-DF5F-48E2-AFC9-044697DD353E}" type="TxLink">
            <a:rPr lang="en-US" sz="1000" b="0" i="0" u="none" strike="noStrike">
              <a:solidFill>
                <a:srgbClr val="000000"/>
              </a:solidFill>
              <a:latin typeface="Aptos Narrow"/>
            </a:rPr>
            <a:pPr/>
            <a:t>-1,02570263571791% vs. Budget</a:t>
          </a:fld>
          <a:endParaRPr lang="pt-BR" sz="1000"/>
        </a:p>
      </xdr:txBody>
    </xdr:sp>
    <xdr:clientData/>
  </xdr:twoCellAnchor>
  <xdr:twoCellAnchor>
    <xdr:from>
      <xdr:col>7</xdr:col>
      <xdr:colOff>10637</xdr:colOff>
      <xdr:row>3</xdr:row>
      <xdr:rowOff>258899</xdr:rowOff>
    </xdr:from>
    <xdr:to>
      <xdr:col>7</xdr:col>
      <xdr:colOff>10637</xdr:colOff>
      <xdr:row>35</xdr:row>
      <xdr:rowOff>40641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7F79BC19-CD50-EC17-5B32-87BC0C50878F}"/>
            </a:ext>
          </a:extLst>
        </xdr:cNvPr>
        <xdr:cNvCxnSpPr>
          <a:cxnSpLocks/>
        </xdr:cNvCxnSpPr>
      </xdr:nvCxnSpPr>
      <xdr:spPr>
        <a:xfrm>
          <a:off x="4369277" y="952319"/>
          <a:ext cx="0" cy="5252902"/>
        </a:xfrm>
        <a:prstGeom prst="line">
          <a:avLst/>
        </a:prstGeom>
        <a:ln w="19050" cap="rnd">
          <a:solidFill>
            <a:schemeClr val="bg2">
              <a:lumMod val="90000"/>
            </a:schemeClr>
          </a:solidFill>
          <a:prstDash val="dash"/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579122</xdr:colOff>
      <xdr:row>16</xdr:row>
      <xdr:rowOff>22861</xdr:rowOff>
    </xdr:from>
    <xdr:to>
      <xdr:col>4</xdr:col>
      <xdr:colOff>392407</xdr:colOff>
      <xdr:row>22</xdr:row>
      <xdr:rowOff>58349</xdr:rowOff>
    </xdr:to>
    <xdr:sp macro="" textlink="">
      <xdr:nvSpPr>
        <xdr:cNvPr id="14" name="Rosca 61">
          <a:extLst>
            <a:ext uri="{FF2B5EF4-FFF2-40B4-BE49-F238E27FC236}">
              <a16:creationId xmlns:a16="http://schemas.microsoft.com/office/drawing/2014/main" id="{AD43930C-F1F1-4EB9-A247-31D17281ED21}"/>
            </a:ext>
          </a:extLst>
        </xdr:cNvPr>
        <xdr:cNvSpPr/>
      </xdr:nvSpPr>
      <xdr:spPr>
        <a:xfrm>
          <a:off x="1889762" y="3345181"/>
          <a:ext cx="1032485" cy="1132768"/>
        </a:xfrm>
        <a:prstGeom prst="donut">
          <a:avLst>
            <a:gd name="adj" fmla="val 15913"/>
          </a:avLst>
        </a:prstGeom>
        <a:solidFill>
          <a:srgbClr val="96E637"/>
        </a:solidFill>
        <a:ln>
          <a:solidFill>
            <a:srgbClr val="96E63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411482</xdr:colOff>
      <xdr:row>16</xdr:row>
      <xdr:rowOff>15241</xdr:rowOff>
    </xdr:from>
    <xdr:to>
      <xdr:col>3</xdr:col>
      <xdr:colOff>543838</xdr:colOff>
      <xdr:row>18</xdr:row>
      <xdr:rowOff>93537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F6F6946C-7AD9-41EA-9AC2-424AA782908C}"/>
            </a:ext>
          </a:extLst>
        </xdr:cNvPr>
        <xdr:cNvSpPr/>
      </xdr:nvSpPr>
      <xdr:spPr>
        <a:xfrm rot="5400000">
          <a:off x="2175872" y="3493411"/>
          <a:ext cx="444056" cy="132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525782</xdr:colOff>
      <xdr:row>18</xdr:row>
      <xdr:rowOff>152402</xdr:rowOff>
    </xdr:from>
    <xdr:to>
      <xdr:col>5</xdr:col>
      <xdr:colOff>102460</xdr:colOff>
      <xdr:row>26</xdr:row>
      <xdr:rowOff>138199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6C1923D6-43DB-4046-9883-C071A5EF7424}"/>
            </a:ext>
          </a:extLst>
        </xdr:cNvPr>
        <xdr:cNvSpPr/>
      </xdr:nvSpPr>
      <xdr:spPr>
        <a:xfrm rot="5400000">
          <a:off x="2393862" y="3892642"/>
          <a:ext cx="900197" cy="79587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>
              <a:cs typeface="Arial" panose="020B0604020202020204" pitchFamily="34" charset="0"/>
            </a:rPr>
            <a:t>15711,83795</a:t>
          </a:r>
        </a:p>
      </xdr:txBody>
    </xdr:sp>
    <xdr:clientData/>
  </xdr:twoCellAnchor>
  <xdr:twoCellAnchor>
    <xdr:from>
      <xdr:col>4</xdr:col>
      <xdr:colOff>137159</xdr:colOff>
      <xdr:row>19</xdr:row>
      <xdr:rowOff>99060</xdr:rowOff>
    </xdr:from>
    <xdr:to>
      <xdr:col>6</xdr:col>
      <xdr:colOff>195942</xdr:colOff>
      <xdr:row>21</xdr:row>
      <xdr:rowOff>54429</xdr:rowOff>
    </xdr:to>
    <xdr:sp macro="" textlink="'Summary  - Fx'!B51">
      <xdr:nvSpPr>
        <xdr:cNvPr id="18" name="CaixaDeTexto 17">
          <a:extLst>
            <a:ext uri="{FF2B5EF4-FFF2-40B4-BE49-F238E27FC236}">
              <a16:creationId xmlns:a16="http://schemas.microsoft.com/office/drawing/2014/main" id="{8BDB455E-20BA-4AFF-97D8-9103DD28EB6A}"/>
            </a:ext>
          </a:extLst>
        </xdr:cNvPr>
        <xdr:cNvSpPr txBox="1"/>
      </xdr:nvSpPr>
      <xdr:spPr>
        <a:xfrm>
          <a:off x="2738845" y="4105003"/>
          <a:ext cx="1277983" cy="325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EBA4B43-A3B8-40B3-A853-5C626F0FE87B}" type="TxLink">
            <a:rPr lang="en-US" sz="16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#VALOR!</a:t>
          </a:fld>
          <a:endParaRPr lang="pt-BR" sz="36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487680</xdr:colOff>
      <xdr:row>20</xdr:row>
      <xdr:rowOff>152400</xdr:rowOff>
    </xdr:from>
    <xdr:to>
      <xdr:col>6</xdr:col>
      <xdr:colOff>365760</xdr:colOff>
      <xdr:row>22</xdr:row>
      <xdr:rowOff>68580</xdr:rowOff>
    </xdr:to>
    <xdr:sp macro="" textlink="#REF!">
      <xdr:nvSpPr>
        <xdr:cNvPr id="19" name="CaixaDeTexto 18">
          <a:extLst>
            <a:ext uri="{FF2B5EF4-FFF2-40B4-BE49-F238E27FC236}">
              <a16:creationId xmlns:a16="http://schemas.microsoft.com/office/drawing/2014/main" id="{F187859B-B2EF-4782-961E-E1F8DF211149}"/>
            </a:ext>
          </a:extLst>
        </xdr:cNvPr>
        <xdr:cNvSpPr txBox="1"/>
      </xdr:nvSpPr>
      <xdr:spPr>
        <a:xfrm>
          <a:off x="2827020" y="4206240"/>
          <a:ext cx="109728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F8BDC99-B21E-4990-B438-B3ACAD1432CF}" type="TxLink">
            <a:rPr lang="en-US" sz="10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8,22852454919025% vs. Budget</a:t>
          </a:fld>
          <a:endParaRPr lang="pt-BR" sz="10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571502</xdr:colOff>
      <xdr:row>28</xdr:row>
      <xdr:rowOff>7621</xdr:rowOff>
    </xdr:from>
    <xdr:to>
      <xdr:col>4</xdr:col>
      <xdr:colOff>384787</xdr:colOff>
      <xdr:row>33</xdr:row>
      <xdr:rowOff>142169</xdr:rowOff>
    </xdr:to>
    <xdr:sp macro="" textlink="">
      <xdr:nvSpPr>
        <xdr:cNvPr id="20" name="Rosca 61">
          <a:extLst>
            <a:ext uri="{FF2B5EF4-FFF2-40B4-BE49-F238E27FC236}">
              <a16:creationId xmlns:a16="http://schemas.microsoft.com/office/drawing/2014/main" id="{43955038-7A7E-471F-9D86-A3E9E056CA7D}"/>
            </a:ext>
          </a:extLst>
        </xdr:cNvPr>
        <xdr:cNvSpPr/>
      </xdr:nvSpPr>
      <xdr:spPr>
        <a:xfrm>
          <a:off x="1691642" y="5059681"/>
          <a:ext cx="1032485" cy="1048948"/>
        </a:xfrm>
        <a:prstGeom prst="donut">
          <a:avLst>
            <a:gd name="adj" fmla="val 15913"/>
          </a:avLst>
        </a:prstGeom>
        <a:solidFill>
          <a:srgbClr val="96E637"/>
        </a:solidFill>
        <a:ln>
          <a:solidFill>
            <a:srgbClr val="96E63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403862</xdr:colOff>
      <xdr:row>28</xdr:row>
      <xdr:rowOff>1</xdr:rowOff>
    </xdr:from>
    <xdr:to>
      <xdr:col>3</xdr:col>
      <xdr:colOff>536218</xdr:colOff>
      <xdr:row>29</xdr:row>
      <xdr:rowOff>177357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41BE768C-7AA0-4A7E-B4C9-B82CA4D88629}"/>
            </a:ext>
          </a:extLst>
        </xdr:cNvPr>
        <xdr:cNvSpPr/>
      </xdr:nvSpPr>
      <xdr:spPr>
        <a:xfrm rot="5400000">
          <a:off x="2019662" y="5166001"/>
          <a:ext cx="360236" cy="1323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latin typeface="Votorantim Sans" panose="02010503030202050203" pitchFamily="2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518162</xdr:colOff>
      <xdr:row>30</xdr:row>
      <xdr:rowOff>53342</xdr:rowOff>
    </xdr:from>
    <xdr:to>
      <xdr:col>5</xdr:col>
      <xdr:colOff>94840</xdr:colOff>
      <xdr:row>35</xdr:row>
      <xdr:rowOff>39139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69B41AF1-1009-4BDB-9514-793E4E9E8544}"/>
            </a:ext>
          </a:extLst>
        </xdr:cNvPr>
        <xdr:cNvSpPr/>
      </xdr:nvSpPr>
      <xdr:spPr>
        <a:xfrm rot="5400000">
          <a:off x="2195742" y="5523322"/>
          <a:ext cx="900197" cy="79587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>
              <a:cs typeface="Arial" panose="020B0604020202020204" pitchFamily="34" charset="0"/>
            </a:rPr>
            <a:t>15711,83795</a:t>
          </a:r>
        </a:p>
      </xdr:txBody>
    </xdr:sp>
    <xdr:clientData/>
  </xdr:twoCellAnchor>
  <xdr:twoCellAnchor>
    <xdr:from>
      <xdr:col>4</xdr:col>
      <xdr:colOff>144779</xdr:colOff>
      <xdr:row>30</xdr:row>
      <xdr:rowOff>160020</xdr:rowOff>
    </xdr:from>
    <xdr:to>
      <xdr:col>6</xdr:col>
      <xdr:colOff>119742</xdr:colOff>
      <xdr:row>32</xdr:row>
      <xdr:rowOff>152400</xdr:rowOff>
    </xdr:to>
    <xdr:sp macro="" textlink="'Summary  - Fx'!B55">
      <xdr:nvSpPr>
        <xdr:cNvPr id="24" name="CaixaDeTexto 23">
          <a:extLst>
            <a:ext uri="{FF2B5EF4-FFF2-40B4-BE49-F238E27FC236}">
              <a16:creationId xmlns:a16="http://schemas.microsoft.com/office/drawing/2014/main" id="{F1C75BD5-C5B5-4710-A0AC-A7B4489C4613}"/>
            </a:ext>
          </a:extLst>
        </xdr:cNvPr>
        <xdr:cNvSpPr txBox="1"/>
      </xdr:nvSpPr>
      <xdr:spPr>
        <a:xfrm>
          <a:off x="2746465" y="6288677"/>
          <a:ext cx="1194163" cy="362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E0C5A50-AB84-4557-BF6D-00088085EC90}" type="TxLink">
            <a:rPr lang="en-US" sz="16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#VALOR!</a:t>
          </a:fld>
          <a:endParaRPr lang="pt-BR" sz="36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495300</xdr:colOff>
      <xdr:row>32</xdr:row>
      <xdr:rowOff>30480</xdr:rowOff>
    </xdr:from>
    <xdr:to>
      <xdr:col>6</xdr:col>
      <xdr:colOff>373380</xdr:colOff>
      <xdr:row>33</xdr:row>
      <xdr:rowOff>129540</xdr:rowOff>
    </xdr:to>
    <xdr:sp macro="" textlink="#REF!">
      <xdr:nvSpPr>
        <xdr:cNvPr id="25" name="CaixaDeTexto 24">
          <a:extLst>
            <a:ext uri="{FF2B5EF4-FFF2-40B4-BE49-F238E27FC236}">
              <a16:creationId xmlns:a16="http://schemas.microsoft.com/office/drawing/2014/main" id="{6EF41591-672E-47C0-8396-F11DA0DD8E91}"/>
            </a:ext>
          </a:extLst>
        </xdr:cNvPr>
        <xdr:cNvSpPr txBox="1"/>
      </xdr:nvSpPr>
      <xdr:spPr>
        <a:xfrm>
          <a:off x="2834640" y="5814060"/>
          <a:ext cx="1097280" cy="281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2A629A4-A079-41C1-8936-A605C69BDDED}" type="TxLink">
            <a:rPr lang="en-US" sz="10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22,4114467058689% vs. Budget</a:t>
          </a:fld>
          <a:endParaRPr lang="pt-BR" sz="10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11113</xdr:colOff>
      <xdr:row>6</xdr:row>
      <xdr:rowOff>0</xdr:rowOff>
    </xdr:from>
    <xdr:to>
      <xdr:col>9</xdr:col>
      <xdr:colOff>414338</xdr:colOff>
      <xdr:row>7</xdr:row>
      <xdr:rowOff>9525</xdr:rowOff>
    </xdr:to>
    <xdr:sp macro="" textlink="">
      <xdr:nvSpPr>
        <xdr:cNvPr id="26" name="CaixaDeTexto 49">
          <a:extLst>
            <a:ext uri="{FF2B5EF4-FFF2-40B4-BE49-F238E27FC236}">
              <a16:creationId xmlns:a16="http://schemas.microsoft.com/office/drawing/2014/main" id="{3D26148E-932F-F353-8DF3-21A5C93E91F7}"/>
            </a:ext>
          </a:extLst>
        </xdr:cNvPr>
        <xdr:cNvSpPr txBox="1"/>
      </xdr:nvSpPr>
      <xdr:spPr>
        <a:xfrm>
          <a:off x="4788853" y="1409700"/>
          <a:ext cx="1012825" cy="27622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Clr>
              <a:srgbClr val="22C0F1"/>
            </a:buClr>
          </a:pPr>
          <a:r>
            <a:rPr lang="en-US" sz="12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VCBR </a:t>
          </a:r>
          <a:r>
            <a:rPr lang="en-US" sz="10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(BRL)</a:t>
          </a:r>
        </a:p>
      </xdr:txBody>
    </xdr:sp>
    <xdr:clientData/>
  </xdr:twoCellAnchor>
  <xdr:twoCellAnchor>
    <xdr:from>
      <xdr:col>8</xdr:col>
      <xdr:colOff>0</xdr:colOff>
      <xdr:row>12</xdr:row>
      <xdr:rowOff>118533</xdr:rowOff>
    </xdr:from>
    <xdr:to>
      <xdr:col>9</xdr:col>
      <xdr:colOff>403225</xdr:colOff>
      <xdr:row>14</xdr:row>
      <xdr:rowOff>28998</xdr:rowOff>
    </xdr:to>
    <xdr:sp macro="" textlink="">
      <xdr:nvSpPr>
        <xdr:cNvPr id="27" name="CaixaDeTexto 50">
          <a:extLst>
            <a:ext uri="{FF2B5EF4-FFF2-40B4-BE49-F238E27FC236}">
              <a16:creationId xmlns:a16="http://schemas.microsoft.com/office/drawing/2014/main" id="{C54A23FC-E342-450E-8019-23C1E6FDBDA5}"/>
            </a:ext>
          </a:extLst>
        </xdr:cNvPr>
        <xdr:cNvSpPr txBox="1"/>
      </xdr:nvSpPr>
      <xdr:spPr>
        <a:xfrm>
          <a:off x="4777740" y="2709333"/>
          <a:ext cx="1012825" cy="27622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Clr>
              <a:srgbClr val="22C0F1"/>
            </a:buClr>
          </a:pPr>
          <a:r>
            <a:rPr lang="en-US" sz="12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VCNA </a:t>
          </a:r>
          <a:r>
            <a:rPr lang="en-US" sz="10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(USD)</a:t>
          </a:r>
        </a:p>
      </xdr:txBody>
    </xdr:sp>
    <xdr:clientData/>
  </xdr:twoCellAnchor>
  <xdr:twoCellAnchor>
    <xdr:from>
      <xdr:col>8</xdr:col>
      <xdr:colOff>14288</xdr:colOff>
      <xdr:row>28</xdr:row>
      <xdr:rowOff>172720</xdr:rowOff>
    </xdr:from>
    <xdr:to>
      <xdr:col>10</xdr:col>
      <xdr:colOff>60326</xdr:colOff>
      <xdr:row>30</xdr:row>
      <xdr:rowOff>84773</xdr:rowOff>
    </xdr:to>
    <xdr:sp macro="" textlink="">
      <xdr:nvSpPr>
        <xdr:cNvPr id="28" name="CaixaDeTexto 51">
          <a:extLst>
            <a:ext uri="{FF2B5EF4-FFF2-40B4-BE49-F238E27FC236}">
              <a16:creationId xmlns:a16="http://schemas.microsoft.com/office/drawing/2014/main" id="{68AD9A46-B8A1-EA74-66D9-6F8EDC9F6FF7}"/>
            </a:ext>
          </a:extLst>
        </xdr:cNvPr>
        <xdr:cNvSpPr txBox="1"/>
      </xdr:nvSpPr>
      <xdr:spPr>
        <a:xfrm>
          <a:off x="4792028" y="5308600"/>
          <a:ext cx="1265238" cy="27781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Clr>
              <a:srgbClr val="22C0F1"/>
            </a:buClr>
          </a:pPr>
          <a:r>
            <a:rPr lang="en-US" sz="12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VCLatam </a:t>
          </a:r>
          <a:r>
            <a:rPr lang="en-US" sz="10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(USD)</a:t>
          </a:r>
        </a:p>
      </xdr:txBody>
    </xdr:sp>
    <xdr:clientData/>
  </xdr:twoCellAnchor>
  <xdr:twoCellAnchor>
    <xdr:from>
      <xdr:col>8</xdr:col>
      <xdr:colOff>17463</xdr:colOff>
      <xdr:row>19</xdr:row>
      <xdr:rowOff>54186</xdr:rowOff>
    </xdr:from>
    <xdr:to>
      <xdr:col>9</xdr:col>
      <xdr:colOff>397236</xdr:colOff>
      <xdr:row>20</xdr:row>
      <xdr:rowOff>148305</xdr:rowOff>
    </xdr:to>
    <xdr:sp macro="" textlink="">
      <xdr:nvSpPr>
        <xdr:cNvPr id="29" name="CaixaDeTexto 99">
          <a:extLst>
            <a:ext uri="{FF2B5EF4-FFF2-40B4-BE49-F238E27FC236}">
              <a16:creationId xmlns:a16="http://schemas.microsoft.com/office/drawing/2014/main" id="{DE346BC1-67FA-8249-F5AD-2870ED860360}"/>
            </a:ext>
          </a:extLst>
        </xdr:cNvPr>
        <xdr:cNvSpPr txBox="1"/>
      </xdr:nvSpPr>
      <xdr:spPr>
        <a:xfrm>
          <a:off x="4795203" y="4008966"/>
          <a:ext cx="989373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Clr>
              <a:srgbClr val="22C0F1"/>
            </a:buClr>
          </a:pPr>
          <a:r>
            <a:rPr lang="en-US" sz="12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VCEA </a:t>
          </a:r>
          <a:r>
            <a:rPr lang="en-US" sz="1000" b="1">
              <a:solidFill>
                <a:srgbClr val="0000BF"/>
              </a:solidFill>
              <a:latin typeface="Votorantim Sans" panose="02010503030202050203" pitchFamily="2" charset="0"/>
              <a:cs typeface="Arial" panose="020B0604020202020204" pitchFamily="34" charset="0"/>
            </a:rPr>
            <a:t>(EUR)</a:t>
          </a:r>
        </a:p>
      </xdr:txBody>
    </xdr:sp>
    <xdr:clientData/>
  </xdr:twoCellAnchor>
  <xdr:twoCellAnchor>
    <xdr:from>
      <xdr:col>8</xdr:col>
      <xdr:colOff>308386</xdr:colOff>
      <xdr:row>3</xdr:row>
      <xdr:rowOff>48409</xdr:rowOff>
    </xdr:from>
    <xdr:to>
      <xdr:col>8</xdr:col>
      <xdr:colOff>522699</xdr:colOff>
      <xdr:row>3</xdr:row>
      <xdr:rowOff>208747</xdr:rowOff>
    </xdr:to>
    <xdr:sp macro="" textlink="">
      <xdr:nvSpPr>
        <xdr:cNvPr id="46" name="Retângulo 45">
          <a:extLst>
            <a:ext uri="{FF2B5EF4-FFF2-40B4-BE49-F238E27FC236}">
              <a16:creationId xmlns:a16="http://schemas.microsoft.com/office/drawing/2014/main" id="{559A8760-39B8-AD84-B32A-582F8D8B7E05}"/>
            </a:ext>
          </a:extLst>
        </xdr:cNvPr>
        <xdr:cNvSpPr/>
      </xdr:nvSpPr>
      <xdr:spPr bwMode="auto">
        <a:xfrm>
          <a:off x="5346551" y="738691"/>
          <a:ext cx="214313" cy="160338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10</xdr:col>
      <xdr:colOff>366843</xdr:colOff>
      <xdr:row>3</xdr:row>
      <xdr:rowOff>48409</xdr:rowOff>
    </xdr:from>
    <xdr:to>
      <xdr:col>10</xdr:col>
      <xdr:colOff>581156</xdr:colOff>
      <xdr:row>3</xdr:row>
      <xdr:rowOff>208747</xdr:rowOff>
    </xdr:to>
    <xdr:sp macro="" textlink="">
      <xdr:nvSpPr>
        <xdr:cNvPr id="47" name="Retângulo 46">
          <a:extLst>
            <a:ext uri="{FF2B5EF4-FFF2-40B4-BE49-F238E27FC236}">
              <a16:creationId xmlns:a16="http://schemas.microsoft.com/office/drawing/2014/main" id="{A90681D4-1D08-F333-ACBD-271727E0EB6B}"/>
            </a:ext>
          </a:extLst>
        </xdr:cNvPr>
        <xdr:cNvSpPr/>
      </xdr:nvSpPr>
      <xdr:spPr bwMode="auto">
        <a:xfrm>
          <a:off x="6624208" y="738691"/>
          <a:ext cx="214313" cy="160338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12</xdr:col>
      <xdr:colOff>349941</xdr:colOff>
      <xdr:row>3</xdr:row>
      <xdr:rowOff>75304</xdr:rowOff>
    </xdr:from>
    <xdr:to>
      <xdr:col>12</xdr:col>
      <xdr:colOff>564254</xdr:colOff>
      <xdr:row>3</xdr:row>
      <xdr:rowOff>235642</xdr:rowOff>
    </xdr:to>
    <xdr:sp macro="" textlink="">
      <xdr:nvSpPr>
        <xdr:cNvPr id="48" name="Retângulo 47">
          <a:extLst>
            <a:ext uri="{FF2B5EF4-FFF2-40B4-BE49-F238E27FC236}">
              <a16:creationId xmlns:a16="http://schemas.microsoft.com/office/drawing/2014/main" id="{FD52D14F-36FF-A341-5367-1331B2DAAC65}"/>
            </a:ext>
          </a:extLst>
        </xdr:cNvPr>
        <xdr:cNvSpPr/>
      </xdr:nvSpPr>
      <xdr:spPr bwMode="auto">
        <a:xfrm>
          <a:off x="7826506" y="765586"/>
          <a:ext cx="214313" cy="160338"/>
        </a:xfrm>
        <a:prstGeom prst="rect">
          <a:avLst/>
        </a:prstGeom>
        <a:solidFill>
          <a:srgbClr val="ED7D31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>
    <xdr:from>
      <xdr:col>8</xdr:col>
      <xdr:colOff>373380</xdr:colOff>
      <xdr:row>7</xdr:row>
      <xdr:rowOff>106680</xdr:rowOff>
    </xdr:from>
    <xdr:to>
      <xdr:col>11</xdr:col>
      <xdr:colOff>568643</xdr:colOff>
      <xdr:row>11</xdr:row>
      <xdr:rowOff>72073</xdr:rowOff>
    </xdr:to>
    <xdr:graphicFrame macro="">
      <xdr:nvGraphicFramePr>
        <xdr:cNvPr id="52" name="Chart 3">
          <a:extLst>
            <a:ext uri="{FF2B5EF4-FFF2-40B4-BE49-F238E27FC236}">
              <a16:creationId xmlns:a16="http://schemas.microsoft.com/office/drawing/2014/main" id="{03DBD125-C7C9-2242-03D4-7541365D8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454660</xdr:colOff>
      <xdr:row>7</xdr:row>
      <xdr:rowOff>40323</xdr:rowOff>
    </xdr:from>
    <xdr:to>
      <xdr:col>9</xdr:col>
      <xdr:colOff>454660</xdr:colOff>
      <xdr:row>8</xdr:row>
      <xdr:rowOff>106681</xdr:rowOff>
    </xdr:to>
    <xdr:cxnSp macro="">
      <xdr:nvCxnSpPr>
        <xdr:cNvPr id="53" name="Conector reto 52">
          <a:extLst>
            <a:ext uri="{FF2B5EF4-FFF2-40B4-BE49-F238E27FC236}">
              <a16:creationId xmlns:a16="http://schemas.microsoft.com/office/drawing/2014/main" id="{8F0C4E2E-2B31-D37C-35B2-CE5E5564F9BE}"/>
            </a:ext>
          </a:extLst>
        </xdr:cNvPr>
        <xdr:cNvCxnSpPr/>
      </xdr:nvCxnSpPr>
      <xdr:spPr bwMode="auto">
        <a:xfrm flipV="1">
          <a:off x="5842000" y="1716723"/>
          <a:ext cx="0" cy="24923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454660</xdr:colOff>
      <xdr:row>7</xdr:row>
      <xdr:rowOff>40323</xdr:rowOff>
    </xdr:from>
    <xdr:to>
      <xdr:col>10</xdr:col>
      <xdr:colOff>440373</xdr:colOff>
      <xdr:row>7</xdr:row>
      <xdr:rowOff>40323</xdr:rowOff>
    </xdr:to>
    <xdr:cxnSp macro="">
      <xdr:nvCxnSpPr>
        <xdr:cNvPr id="54" name="Conector reto 53">
          <a:extLst>
            <a:ext uri="{FF2B5EF4-FFF2-40B4-BE49-F238E27FC236}">
              <a16:creationId xmlns:a16="http://schemas.microsoft.com/office/drawing/2014/main" id="{5358104B-31AB-1234-C202-88017489DBC5}"/>
            </a:ext>
          </a:extLst>
        </xdr:cNvPr>
        <xdr:cNvCxnSpPr/>
      </xdr:nvCxnSpPr>
      <xdr:spPr bwMode="auto">
        <a:xfrm>
          <a:off x="5842000" y="1716723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440373</xdr:colOff>
      <xdr:row>7</xdr:row>
      <xdr:rowOff>40323</xdr:rowOff>
    </xdr:from>
    <xdr:to>
      <xdr:col>10</xdr:col>
      <xdr:colOff>440373</xdr:colOff>
      <xdr:row>8</xdr:row>
      <xdr:rowOff>106681</xdr:rowOff>
    </xdr:to>
    <xdr:cxnSp macro="">
      <xdr:nvCxnSpPr>
        <xdr:cNvPr id="55" name="Conector reto 54">
          <a:extLst>
            <a:ext uri="{FF2B5EF4-FFF2-40B4-BE49-F238E27FC236}">
              <a16:creationId xmlns:a16="http://schemas.microsoft.com/office/drawing/2014/main" id="{9BA2CFAD-1873-5D51-1448-2ECD01DB6741}"/>
            </a:ext>
          </a:extLst>
        </xdr:cNvPr>
        <xdr:cNvCxnSpPr/>
      </xdr:nvCxnSpPr>
      <xdr:spPr bwMode="auto">
        <a:xfrm>
          <a:off x="6437313" y="1716723"/>
          <a:ext cx="0" cy="24923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487680</xdr:colOff>
      <xdr:row>6</xdr:row>
      <xdr:rowOff>205740</xdr:rowOff>
    </xdr:from>
    <xdr:to>
      <xdr:col>10</xdr:col>
      <xdr:colOff>411480</xdr:colOff>
      <xdr:row>7</xdr:row>
      <xdr:rowOff>132715</xdr:rowOff>
    </xdr:to>
    <xdr:sp macro="" textlink="'Summary  - Fx'!A62">
      <xdr:nvSpPr>
        <xdr:cNvPr id="56" name="Espaço Reservado para Texto 2">
          <a:extLst>
            <a:ext uri="{FF2B5EF4-FFF2-40B4-BE49-F238E27FC236}">
              <a16:creationId xmlns:a16="http://schemas.microsoft.com/office/drawing/2014/main" id="{4CBF17BE-4F45-E4FB-D68F-CF5B2D95C69F}"/>
            </a:ext>
          </a:extLst>
        </xdr:cNvPr>
        <xdr:cNvSpPr>
          <a:spLocks noGrp="1"/>
        </xdr:cNvSpPr>
      </xdr:nvSpPr>
      <xdr:spPr bwMode="auto">
        <a:xfrm>
          <a:off x="5875020" y="1615440"/>
          <a:ext cx="533400" cy="193675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1F3BD6F6-2423-44BE-A783-83901842C6AA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0%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11</xdr:col>
      <xdr:colOff>548640</xdr:colOff>
      <xdr:row>6</xdr:row>
      <xdr:rowOff>243840</xdr:rowOff>
    </xdr:from>
    <xdr:to>
      <xdr:col>16</xdr:col>
      <xdr:colOff>24765</xdr:colOff>
      <xdr:row>11</xdr:row>
      <xdr:rowOff>60007</xdr:rowOff>
    </xdr:to>
    <xdr:graphicFrame macro="">
      <xdr:nvGraphicFramePr>
        <xdr:cNvPr id="57" name="Chart 3">
          <a:extLst>
            <a:ext uri="{FF2B5EF4-FFF2-40B4-BE49-F238E27FC236}">
              <a16:creationId xmlns:a16="http://schemas.microsoft.com/office/drawing/2014/main" id="{2B0E6A12-C411-0FDE-8E2A-45A762672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279400</xdr:colOff>
      <xdr:row>5</xdr:row>
      <xdr:rowOff>234633</xdr:rowOff>
    </xdr:from>
    <xdr:to>
      <xdr:col>13</xdr:col>
      <xdr:colOff>279400</xdr:colOff>
      <xdr:row>6</xdr:row>
      <xdr:rowOff>217171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BAE83F6B-5888-4B13-B999-EEBB4726CFB1}"/>
            </a:ext>
          </a:extLst>
        </xdr:cNvPr>
        <xdr:cNvCxnSpPr/>
      </xdr:nvCxnSpPr>
      <xdr:spPr bwMode="auto">
        <a:xfrm flipV="1">
          <a:off x="8105140" y="1377633"/>
          <a:ext cx="0" cy="24923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257493</xdr:colOff>
      <xdr:row>5</xdr:row>
      <xdr:rowOff>238443</xdr:rowOff>
    </xdr:from>
    <xdr:to>
      <xdr:col>14</xdr:col>
      <xdr:colOff>257493</xdr:colOff>
      <xdr:row>6</xdr:row>
      <xdr:rowOff>220981</xdr:rowOff>
    </xdr:to>
    <xdr:cxnSp macro="">
      <xdr:nvCxnSpPr>
        <xdr:cNvPr id="59" name="Conector reto 58">
          <a:extLst>
            <a:ext uri="{FF2B5EF4-FFF2-40B4-BE49-F238E27FC236}">
              <a16:creationId xmlns:a16="http://schemas.microsoft.com/office/drawing/2014/main" id="{8951EA50-6A2E-4EF3-85C2-8EC5032C7AD9}"/>
            </a:ext>
          </a:extLst>
        </xdr:cNvPr>
        <xdr:cNvCxnSpPr/>
      </xdr:nvCxnSpPr>
      <xdr:spPr bwMode="auto">
        <a:xfrm>
          <a:off x="8692833" y="1381443"/>
          <a:ext cx="0" cy="24923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5</xdr:row>
      <xdr:rowOff>137160</xdr:rowOff>
    </xdr:from>
    <xdr:to>
      <xdr:col>14</xdr:col>
      <xdr:colOff>228600</xdr:colOff>
      <xdr:row>6</xdr:row>
      <xdr:rowOff>64135</xdr:rowOff>
    </xdr:to>
    <xdr:sp macro="" textlink="">
      <xdr:nvSpPr>
        <xdr:cNvPr id="60" name="Espaço Reservado para Texto 2">
          <a:extLst>
            <a:ext uri="{FF2B5EF4-FFF2-40B4-BE49-F238E27FC236}">
              <a16:creationId xmlns:a16="http://schemas.microsoft.com/office/drawing/2014/main" id="{E61CD72D-3A80-4038-84F6-3193139F846E}"/>
            </a:ext>
          </a:extLst>
        </xdr:cNvPr>
        <xdr:cNvSpPr>
          <a:spLocks noGrp="1"/>
        </xdr:cNvSpPr>
      </xdr:nvSpPr>
      <xdr:spPr bwMode="auto">
        <a:xfrm>
          <a:off x="8130540" y="1280160"/>
          <a:ext cx="533400" cy="193675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/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t>-100%</a:t>
          </a:r>
        </a:p>
      </xdr:txBody>
    </xdr:sp>
    <xdr:clientData/>
  </xdr:twoCellAnchor>
  <xdr:twoCellAnchor>
    <xdr:from>
      <xdr:col>15</xdr:col>
      <xdr:colOff>564777</xdr:colOff>
      <xdr:row>6</xdr:row>
      <xdr:rowOff>125506</xdr:rowOff>
    </xdr:from>
    <xdr:to>
      <xdr:col>20</xdr:col>
      <xdr:colOff>40902</xdr:colOff>
      <xdr:row>11</xdr:row>
      <xdr:rowOff>79189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CADE6458-9B84-C721-5E86-6D1A48E22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15187</xdr:colOff>
      <xdr:row>5</xdr:row>
      <xdr:rowOff>265042</xdr:rowOff>
    </xdr:from>
    <xdr:to>
      <xdr:col>18</xdr:col>
      <xdr:colOff>900</xdr:colOff>
      <xdr:row>5</xdr:row>
      <xdr:rowOff>265042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4BDA0745-46CA-44CD-8D38-90DB82D2EBA7}"/>
            </a:ext>
          </a:extLst>
        </xdr:cNvPr>
        <xdr:cNvCxnSpPr/>
      </xdr:nvCxnSpPr>
      <xdr:spPr bwMode="auto">
        <a:xfrm>
          <a:off x="10278124" y="1416063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18916</xdr:colOff>
      <xdr:row>5</xdr:row>
      <xdr:rowOff>259448</xdr:rowOff>
    </xdr:from>
    <xdr:to>
      <xdr:col>17</xdr:col>
      <xdr:colOff>18916</xdr:colOff>
      <xdr:row>6</xdr:row>
      <xdr:rowOff>241986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505E7AD7-DAC7-420B-8E53-09EAC4B36D68}"/>
            </a:ext>
          </a:extLst>
        </xdr:cNvPr>
        <xdr:cNvCxnSpPr/>
      </xdr:nvCxnSpPr>
      <xdr:spPr bwMode="auto">
        <a:xfrm flipV="1">
          <a:off x="10281853" y="1410469"/>
          <a:ext cx="0" cy="251243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606609</xdr:colOff>
      <xdr:row>5</xdr:row>
      <xdr:rowOff>263258</xdr:rowOff>
    </xdr:from>
    <xdr:to>
      <xdr:col>17</xdr:col>
      <xdr:colOff>606609</xdr:colOff>
      <xdr:row>6</xdr:row>
      <xdr:rowOff>245796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E5131C22-7848-4147-9ABF-02DB64A09960}"/>
            </a:ext>
          </a:extLst>
        </xdr:cNvPr>
        <xdr:cNvCxnSpPr/>
      </xdr:nvCxnSpPr>
      <xdr:spPr bwMode="auto">
        <a:xfrm>
          <a:off x="10869546" y="1414279"/>
          <a:ext cx="0" cy="251243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44316</xdr:colOff>
      <xdr:row>5</xdr:row>
      <xdr:rowOff>161975</xdr:rowOff>
    </xdr:from>
    <xdr:to>
      <xdr:col>17</xdr:col>
      <xdr:colOff>577716</xdr:colOff>
      <xdr:row>6</xdr:row>
      <xdr:rowOff>88950</xdr:rowOff>
    </xdr:to>
    <xdr:sp macro="" textlink="">
      <xdr:nvSpPr>
        <xdr:cNvPr id="30" name="Espaço Reservado para Texto 2">
          <a:extLst>
            <a:ext uri="{FF2B5EF4-FFF2-40B4-BE49-F238E27FC236}">
              <a16:creationId xmlns:a16="http://schemas.microsoft.com/office/drawing/2014/main" id="{AD17504A-AC93-4535-8AEE-0ED89596721F}"/>
            </a:ext>
          </a:extLst>
        </xdr:cNvPr>
        <xdr:cNvSpPr>
          <a:spLocks noGrp="1"/>
        </xdr:cNvSpPr>
      </xdr:nvSpPr>
      <xdr:spPr bwMode="auto">
        <a:xfrm>
          <a:off x="10307253" y="1312996"/>
          <a:ext cx="533400" cy="195680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/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t>-100%</a:t>
          </a:r>
        </a:p>
      </xdr:txBody>
    </xdr:sp>
    <xdr:clientData/>
  </xdr:twoCellAnchor>
  <xdr:twoCellAnchor>
    <xdr:from>
      <xdr:col>8</xdr:col>
      <xdr:colOff>372291</xdr:colOff>
      <xdr:row>15</xdr:row>
      <xdr:rowOff>88116</xdr:rowOff>
    </xdr:from>
    <xdr:to>
      <xdr:col>11</xdr:col>
      <xdr:colOff>567554</xdr:colOff>
      <xdr:row>18</xdr:row>
      <xdr:rowOff>151481</xdr:rowOff>
    </xdr:to>
    <xdr:graphicFrame macro="">
      <xdr:nvGraphicFramePr>
        <xdr:cNvPr id="31" name="Chart 3">
          <a:extLst>
            <a:ext uri="{FF2B5EF4-FFF2-40B4-BE49-F238E27FC236}">
              <a16:creationId xmlns:a16="http://schemas.microsoft.com/office/drawing/2014/main" id="{055C0A7A-1F7C-404E-925F-BF644B877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547551</xdr:colOff>
      <xdr:row>14</xdr:row>
      <xdr:rowOff>138192</xdr:rowOff>
    </xdr:from>
    <xdr:to>
      <xdr:col>16</xdr:col>
      <xdr:colOff>23676</xdr:colOff>
      <xdr:row>18</xdr:row>
      <xdr:rowOff>139415</xdr:rowOff>
    </xdr:to>
    <xdr:graphicFrame macro="">
      <xdr:nvGraphicFramePr>
        <xdr:cNvPr id="32" name="Chart 3">
          <a:extLst>
            <a:ext uri="{FF2B5EF4-FFF2-40B4-BE49-F238E27FC236}">
              <a16:creationId xmlns:a16="http://schemas.microsoft.com/office/drawing/2014/main" id="{76DE6620-802E-4311-8205-C6C53C0B2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563688</xdr:colOff>
      <xdr:row>14</xdr:row>
      <xdr:rowOff>19858</xdr:rowOff>
    </xdr:from>
    <xdr:to>
      <xdr:col>20</xdr:col>
      <xdr:colOff>39813</xdr:colOff>
      <xdr:row>18</xdr:row>
      <xdr:rowOff>158597</xdr:rowOff>
    </xdr:to>
    <xdr:graphicFrame macro="">
      <xdr:nvGraphicFramePr>
        <xdr:cNvPr id="33" name="Chart 3">
          <a:extLst>
            <a:ext uri="{FF2B5EF4-FFF2-40B4-BE49-F238E27FC236}">
              <a16:creationId xmlns:a16="http://schemas.microsoft.com/office/drawing/2014/main" id="{1E4DF855-FE4C-455F-A21A-6FAACBD24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383175</xdr:colOff>
      <xdr:row>22</xdr:row>
      <xdr:rowOff>120764</xdr:rowOff>
    </xdr:from>
    <xdr:to>
      <xdr:col>11</xdr:col>
      <xdr:colOff>578438</xdr:colOff>
      <xdr:row>26</xdr:row>
      <xdr:rowOff>86156</xdr:rowOff>
    </xdr:to>
    <xdr:graphicFrame macro="">
      <xdr:nvGraphicFramePr>
        <xdr:cNvPr id="34" name="Chart 3">
          <a:extLst>
            <a:ext uri="{FF2B5EF4-FFF2-40B4-BE49-F238E27FC236}">
              <a16:creationId xmlns:a16="http://schemas.microsoft.com/office/drawing/2014/main" id="{44A35BB5-BF97-47B8-B247-F454C52D4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558435</xdr:colOff>
      <xdr:row>19</xdr:row>
      <xdr:rowOff>149071</xdr:rowOff>
    </xdr:from>
    <xdr:to>
      <xdr:col>16</xdr:col>
      <xdr:colOff>34560</xdr:colOff>
      <xdr:row>27</xdr:row>
      <xdr:rowOff>52323</xdr:rowOff>
    </xdr:to>
    <xdr:graphicFrame macro="">
      <xdr:nvGraphicFramePr>
        <xdr:cNvPr id="35" name="Chart 3">
          <a:extLst>
            <a:ext uri="{FF2B5EF4-FFF2-40B4-BE49-F238E27FC236}">
              <a16:creationId xmlns:a16="http://schemas.microsoft.com/office/drawing/2014/main" id="{9B91B31D-FE4B-4A74-9A95-9ED52BA72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574572</xdr:colOff>
      <xdr:row>19</xdr:row>
      <xdr:rowOff>30737</xdr:rowOff>
    </xdr:from>
    <xdr:to>
      <xdr:col>20</xdr:col>
      <xdr:colOff>50697</xdr:colOff>
      <xdr:row>27</xdr:row>
      <xdr:rowOff>71505</xdr:rowOff>
    </xdr:to>
    <xdr:graphicFrame macro="">
      <xdr:nvGraphicFramePr>
        <xdr:cNvPr id="36" name="Chart 3">
          <a:extLst>
            <a:ext uri="{FF2B5EF4-FFF2-40B4-BE49-F238E27FC236}">
              <a16:creationId xmlns:a16="http://schemas.microsoft.com/office/drawing/2014/main" id="{E7331812-9FFD-45FB-BC8B-A4B47A137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383172</xdr:colOff>
      <xdr:row>31</xdr:row>
      <xdr:rowOff>120771</xdr:rowOff>
    </xdr:from>
    <xdr:to>
      <xdr:col>11</xdr:col>
      <xdr:colOff>578435</xdr:colOff>
      <xdr:row>35</xdr:row>
      <xdr:rowOff>86165</xdr:rowOff>
    </xdr:to>
    <xdr:graphicFrame macro="">
      <xdr:nvGraphicFramePr>
        <xdr:cNvPr id="37" name="Chart 3">
          <a:extLst>
            <a:ext uri="{FF2B5EF4-FFF2-40B4-BE49-F238E27FC236}">
              <a16:creationId xmlns:a16="http://schemas.microsoft.com/office/drawing/2014/main" id="{8F8E83BD-3693-4FCB-99BE-6E9D58AC3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558432</xdr:colOff>
      <xdr:row>30</xdr:row>
      <xdr:rowOff>170846</xdr:rowOff>
    </xdr:from>
    <xdr:to>
      <xdr:col>16</xdr:col>
      <xdr:colOff>34557</xdr:colOff>
      <xdr:row>35</xdr:row>
      <xdr:rowOff>74099</xdr:rowOff>
    </xdr:to>
    <xdr:graphicFrame macro="">
      <xdr:nvGraphicFramePr>
        <xdr:cNvPr id="38" name="Chart 3">
          <a:extLst>
            <a:ext uri="{FF2B5EF4-FFF2-40B4-BE49-F238E27FC236}">
              <a16:creationId xmlns:a16="http://schemas.microsoft.com/office/drawing/2014/main" id="{655456F3-7A76-4544-84A2-1305E49A0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574569</xdr:colOff>
      <xdr:row>30</xdr:row>
      <xdr:rowOff>52512</xdr:rowOff>
    </xdr:from>
    <xdr:to>
      <xdr:col>20</xdr:col>
      <xdr:colOff>50694</xdr:colOff>
      <xdr:row>35</xdr:row>
      <xdr:rowOff>93281</xdr:rowOff>
    </xdr:to>
    <xdr:graphicFrame macro="">
      <xdr:nvGraphicFramePr>
        <xdr:cNvPr id="39" name="Chart 3">
          <a:extLst>
            <a:ext uri="{FF2B5EF4-FFF2-40B4-BE49-F238E27FC236}">
              <a16:creationId xmlns:a16="http://schemas.microsoft.com/office/drawing/2014/main" id="{709761E8-DB84-4071-B5BF-7F83B17E4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455749</xdr:colOff>
      <xdr:row>15</xdr:row>
      <xdr:rowOff>21819</xdr:rowOff>
    </xdr:from>
    <xdr:to>
      <xdr:col>9</xdr:col>
      <xdr:colOff>455749</xdr:colOff>
      <xdr:row>16</xdr:row>
      <xdr:rowOff>5446</xdr:rowOff>
    </xdr:to>
    <xdr:cxnSp macro="">
      <xdr:nvCxnSpPr>
        <xdr:cNvPr id="40" name="Conector reto 39">
          <a:extLst>
            <a:ext uri="{FF2B5EF4-FFF2-40B4-BE49-F238E27FC236}">
              <a16:creationId xmlns:a16="http://schemas.microsoft.com/office/drawing/2014/main" id="{132CE2F3-ECCD-4733-8BAD-6D2941934C7B}"/>
            </a:ext>
          </a:extLst>
        </xdr:cNvPr>
        <xdr:cNvCxnSpPr/>
      </xdr:nvCxnSpPr>
      <xdr:spPr bwMode="auto">
        <a:xfrm flipV="1">
          <a:off x="6103258" y="3156905"/>
          <a:ext cx="0" cy="24923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455749</xdr:colOff>
      <xdr:row>15</xdr:row>
      <xdr:rowOff>21819</xdr:rowOff>
    </xdr:from>
    <xdr:to>
      <xdr:col>10</xdr:col>
      <xdr:colOff>441462</xdr:colOff>
      <xdr:row>15</xdr:row>
      <xdr:rowOff>21819</xdr:rowOff>
    </xdr:to>
    <xdr:cxnSp macro="">
      <xdr:nvCxnSpPr>
        <xdr:cNvPr id="41" name="Conector reto 40">
          <a:extLst>
            <a:ext uri="{FF2B5EF4-FFF2-40B4-BE49-F238E27FC236}">
              <a16:creationId xmlns:a16="http://schemas.microsoft.com/office/drawing/2014/main" id="{B01A1F48-5965-49FB-BD51-EC768A0C9A67}"/>
            </a:ext>
          </a:extLst>
        </xdr:cNvPr>
        <xdr:cNvCxnSpPr/>
      </xdr:nvCxnSpPr>
      <xdr:spPr bwMode="auto">
        <a:xfrm>
          <a:off x="6103258" y="3156905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441462</xdr:colOff>
      <xdr:row>15</xdr:row>
      <xdr:rowOff>21819</xdr:rowOff>
    </xdr:from>
    <xdr:to>
      <xdr:col>10</xdr:col>
      <xdr:colOff>441462</xdr:colOff>
      <xdr:row>16</xdr:row>
      <xdr:rowOff>5446</xdr:rowOff>
    </xdr:to>
    <xdr:cxnSp macro="">
      <xdr:nvCxnSpPr>
        <xdr:cNvPr id="42" name="Conector reto 41">
          <a:extLst>
            <a:ext uri="{FF2B5EF4-FFF2-40B4-BE49-F238E27FC236}">
              <a16:creationId xmlns:a16="http://schemas.microsoft.com/office/drawing/2014/main" id="{942D199D-55F0-468C-A85D-F36388FFEC55}"/>
            </a:ext>
          </a:extLst>
        </xdr:cNvPr>
        <xdr:cNvCxnSpPr/>
      </xdr:nvCxnSpPr>
      <xdr:spPr bwMode="auto">
        <a:xfrm>
          <a:off x="6698571" y="3156905"/>
          <a:ext cx="0" cy="24923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488769</xdr:colOff>
      <xdr:row>14</xdr:row>
      <xdr:rowOff>104504</xdr:rowOff>
    </xdr:from>
    <xdr:to>
      <xdr:col>10</xdr:col>
      <xdr:colOff>412569</xdr:colOff>
      <xdr:row>15</xdr:row>
      <xdr:rowOff>114211</xdr:rowOff>
    </xdr:to>
    <xdr:sp macro="" textlink="#REF!">
      <xdr:nvSpPr>
        <xdr:cNvPr id="43" name="Espaço Reservado para Texto 2">
          <a:extLst>
            <a:ext uri="{FF2B5EF4-FFF2-40B4-BE49-F238E27FC236}">
              <a16:creationId xmlns:a16="http://schemas.microsoft.com/office/drawing/2014/main" id="{22AD3CC4-EB56-466A-9837-FC4567A83B9D}"/>
            </a:ext>
          </a:extLst>
        </xdr:cNvPr>
        <xdr:cNvSpPr>
          <a:spLocks noGrp="1"/>
        </xdr:cNvSpPr>
      </xdr:nvSpPr>
      <xdr:spPr bwMode="auto">
        <a:xfrm>
          <a:off x="6136278" y="3056710"/>
          <a:ext cx="533400" cy="192587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AAE86FB4-F896-4389-81AB-C33B944EA7BD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42%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13</xdr:col>
      <xdr:colOff>251278</xdr:colOff>
      <xdr:row>12</xdr:row>
      <xdr:rowOff>98147</xdr:rowOff>
    </xdr:from>
    <xdr:to>
      <xdr:col>13</xdr:col>
      <xdr:colOff>251278</xdr:colOff>
      <xdr:row>13</xdr:row>
      <xdr:rowOff>171421</xdr:rowOff>
    </xdr:to>
    <xdr:cxnSp macro="">
      <xdr:nvCxnSpPr>
        <xdr:cNvPr id="44" name="Conector reto 43">
          <a:extLst>
            <a:ext uri="{FF2B5EF4-FFF2-40B4-BE49-F238E27FC236}">
              <a16:creationId xmlns:a16="http://schemas.microsoft.com/office/drawing/2014/main" id="{C51A8AC8-55D8-44C0-82D5-9A085338BCC0}"/>
            </a:ext>
          </a:extLst>
        </xdr:cNvPr>
        <xdr:cNvCxnSpPr/>
      </xdr:nvCxnSpPr>
      <xdr:spPr bwMode="auto">
        <a:xfrm flipV="1">
          <a:off x="8337443" y="2671018"/>
          <a:ext cx="0" cy="25256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233348</xdr:colOff>
      <xdr:row>12</xdr:row>
      <xdr:rowOff>98147</xdr:rowOff>
    </xdr:from>
    <xdr:to>
      <xdr:col>14</xdr:col>
      <xdr:colOff>219061</xdr:colOff>
      <xdr:row>12</xdr:row>
      <xdr:rowOff>98147</xdr:rowOff>
    </xdr:to>
    <xdr:cxnSp macro="">
      <xdr:nvCxnSpPr>
        <xdr:cNvPr id="45" name="Conector reto 44">
          <a:extLst>
            <a:ext uri="{FF2B5EF4-FFF2-40B4-BE49-F238E27FC236}">
              <a16:creationId xmlns:a16="http://schemas.microsoft.com/office/drawing/2014/main" id="{17298BC9-874E-45E8-9E0C-E0B298D70F6D}"/>
            </a:ext>
          </a:extLst>
        </xdr:cNvPr>
        <xdr:cNvCxnSpPr/>
      </xdr:nvCxnSpPr>
      <xdr:spPr bwMode="auto">
        <a:xfrm>
          <a:off x="8319513" y="2671018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236991</xdr:colOff>
      <xdr:row>12</xdr:row>
      <xdr:rowOff>98147</xdr:rowOff>
    </xdr:from>
    <xdr:to>
      <xdr:col>14</xdr:col>
      <xdr:colOff>236991</xdr:colOff>
      <xdr:row>13</xdr:row>
      <xdr:rowOff>171421</xdr:rowOff>
    </xdr:to>
    <xdr:cxnSp macro="">
      <xdr:nvCxnSpPr>
        <xdr:cNvPr id="61" name="Conector reto 60">
          <a:extLst>
            <a:ext uri="{FF2B5EF4-FFF2-40B4-BE49-F238E27FC236}">
              <a16:creationId xmlns:a16="http://schemas.microsoft.com/office/drawing/2014/main" id="{E3F94E65-DE2D-440F-9912-295527ABCAF7}"/>
            </a:ext>
          </a:extLst>
        </xdr:cNvPr>
        <xdr:cNvCxnSpPr/>
      </xdr:nvCxnSpPr>
      <xdr:spPr bwMode="auto">
        <a:xfrm>
          <a:off x="8932756" y="2671018"/>
          <a:ext cx="0" cy="252568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284298</xdr:colOff>
      <xdr:row>11</xdr:row>
      <xdr:rowOff>55327</xdr:rowOff>
    </xdr:from>
    <xdr:to>
      <xdr:col>14</xdr:col>
      <xdr:colOff>208098</xdr:colOff>
      <xdr:row>12</xdr:row>
      <xdr:rowOff>65033</xdr:rowOff>
    </xdr:to>
    <xdr:sp macro="" textlink="#REF!">
      <xdr:nvSpPr>
        <xdr:cNvPr id="62" name="Espaço Reservado para Texto 2">
          <a:extLst>
            <a:ext uri="{FF2B5EF4-FFF2-40B4-BE49-F238E27FC236}">
              <a16:creationId xmlns:a16="http://schemas.microsoft.com/office/drawing/2014/main" id="{3EDF0471-A563-49EF-AE51-73DDD017DEA5}"/>
            </a:ext>
          </a:extLst>
        </xdr:cNvPr>
        <xdr:cNvSpPr>
          <a:spLocks noGrp="1"/>
        </xdr:cNvSpPr>
      </xdr:nvSpPr>
      <xdr:spPr bwMode="auto">
        <a:xfrm>
          <a:off x="8370463" y="2448903"/>
          <a:ext cx="533400" cy="189001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AAE86FB4-F896-4389-81AB-C33B944EA7BD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42%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17</xdr:col>
      <xdr:colOff>26531</xdr:colOff>
      <xdr:row>12</xdr:row>
      <xdr:rowOff>141675</xdr:rowOff>
    </xdr:from>
    <xdr:to>
      <xdr:col>17</xdr:col>
      <xdr:colOff>26531</xdr:colOff>
      <xdr:row>14</xdr:row>
      <xdr:rowOff>29184</xdr:rowOff>
    </xdr:to>
    <xdr:cxnSp macro="">
      <xdr:nvCxnSpPr>
        <xdr:cNvPr id="63" name="Conector reto 62">
          <a:extLst>
            <a:ext uri="{FF2B5EF4-FFF2-40B4-BE49-F238E27FC236}">
              <a16:creationId xmlns:a16="http://schemas.microsoft.com/office/drawing/2014/main" id="{C32DA300-F232-4A60-B53C-875B2969E7E5}"/>
            </a:ext>
          </a:extLst>
        </xdr:cNvPr>
        <xdr:cNvCxnSpPr/>
      </xdr:nvCxnSpPr>
      <xdr:spPr bwMode="auto">
        <a:xfrm flipV="1">
          <a:off x="10551096" y="2714546"/>
          <a:ext cx="0" cy="24609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17566</xdr:colOff>
      <xdr:row>12</xdr:row>
      <xdr:rowOff>141675</xdr:rowOff>
    </xdr:from>
    <xdr:to>
      <xdr:col>18</xdr:col>
      <xdr:colOff>3279</xdr:colOff>
      <xdr:row>12</xdr:row>
      <xdr:rowOff>141675</xdr:rowOff>
    </xdr:to>
    <xdr:cxnSp macro="">
      <xdr:nvCxnSpPr>
        <xdr:cNvPr id="64" name="Conector reto 63">
          <a:extLst>
            <a:ext uri="{FF2B5EF4-FFF2-40B4-BE49-F238E27FC236}">
              <a16:creationId xmlns:a16="http://schemas.microsoft.com/office/drawing/2014/main" id="{E40FDCCA-3C91-4E86-8D74-05ACFD979792}"/>
            </a:ext>
          </a:extLst>
        </xdr:cNvPr>
        <xdr:cNvCxnSpPr/>
      </xdr:nvCxnSpPr>
      <xdr:spPr bwMode="auto">
        <a:xfrm>
          <a:off x="10542131" y="2714546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3280</xdr:colOff>
      <xdr:row>12</xdr:row>
      <xdr:rowOff>150640</xdr:rowOff>
    </xdr:from>
    <xdr:to>
      <xdr:col>18</xdr:col>
      <xdr:colOff>3280</xdr:colOff>
      <xdr:row>14</xdr:row>
      <xdr:rowOff>38149</xdr:rowOff>
    </xdr:to>
    <xdr:cxnSp macro="">
      <xdr:nvCxnSpPr>
        <xdr:cNvPr id="65" name="Conector reto 64">
          <a:extLst>
            <a:ext uri="{FF2B5EF4-FFF2-40B4-BE49-F238E27FC236}">
              <a16:creationId xmlns:a16="http://schemas.microsoft.com/office/drawing/2014/main" id="{E4878711-1DB7-4C11-97FB-118CE99346C6}"/>
            </a:ext>
          </a:extLst>
        </xdr:cNvPr>
        <xdr:cNvCxnSpPr/>
      </xdr:nvCxnSpPr>
      <xdr:spPr bwMode="auto">
        <a:xfrm>
          <a:off x="11137445" y="2723511"/>
          <a:ext cx="0" cy="24609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50586</xdr:colOff>
      <xdr:row>11</xdr:row>
      <xdr:rowOff>65725</xdr:rowOff>
    </xdr:from>
    <xdr:to>
      <xdr:col>17</xdr:col>
      <xdr:colOff>583986</xdr:colOff>
      <xdr:row>12</xdr:row>
      <xdr:rowOff>75431</xdr:rowOff>
    </xdr:to>
    <xdr:sp macro="" textlink="#REF!">
      <xdr:nvSpPr>
        <xdr:cNvPr id="66" name="Espaço Reservado para Texto 2">
          <a:extLst>
            <a:ext uri="{FF2B5EF4-FFF2-40B4-BE49-F238E27FC236}">
              <a16:creationId xmlns:a16="http://schemas.microsoft.com/office/drawing/2014/main" id="{5E5BBCAC-8518-45D8-A8B8-33599123CC03}"/>
            </a:ext>
          </a:extLst>
        </xdr:cNvPr>
        <xdr:cNvSpPr>
          <a:spLocks noGrp="1"/>
        </xdr:cNvSpPr>
      </xdr:nvSpPr>
      <xdr:spPr bwMode="auto">
        <a:xfrm>
          <a:off x="10575151" y="2459301"/>
          <a:ext cx="533400" cy="189001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046E7218-DB98-4ACA-A29E-ADA7CB269E62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20%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9</xdr:col>
      <xdr:colOff>469223</xdr:colOff>
      <xdr:row>22</xdr:row>
      <xdr:rowOff>73674</xdr:rowOff>
    </xdr:from>
    <xdr:to>
      <xdr:col>9</xdr:col>
      <xdr:colOff>469223</xdr:colOff>
      <xdr:row>23</xdr:row>
      <xdr:rowOff>143026</xdr:rowOff>
    </xdr:to>
    <xdr:cxnSp macro="">
      <xdr:nvCxnSpPr>
        <xdr:cNvPr id="67" name="Conector reto 66">
          <a:extLst>
            <a:ext uri="{FF2B5EF4-FFF2-40B4-BE49-F238E27FC236}">
              <a16:creationId xmlns:a16="http://schemas.microsoft.com/office/drawing/2014/main" id="{E759AA08-7A29-4CEE-8F04-E03778C867EA}"/>
            </a:ext>
          </a:extLst>
        </xdr:cNvPr>
        <xdr:cNvCxnSpPr/>
      </xdr:nvCxnSpPr>
      <xdr:spPr bwMode="auto">
        <a:xfrm flipV="1">
          <a:off x="6117548" y="4545662"/>
          <a:ext cx="0" cy="25032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469223</xdr:colOff>
      <xdr:row>22</xdr:row>
      <xdr:rowOff>73674</xdr:rowOff>
    </xdr:from>
    <xdr:to>
      <xdr:col>10</xdr:col>
      <xdr:colOff>454936</xdr:colOff>
      <xdr:row>22</xdr:row>
      <xdr:rowOff>73674</xdr:rowOff>
    </xdr:to>
    <xdr:cxnSp macro="">
      <xdr:nvCxnSpPr>
        <xdr:cNvPr id="68" name="Conector reto 67">
          <a:extLst>
            <a:ext uri="{FF2B5EF4-FFF2-40B4-BE49-F238E27FC236}">
              <a16:creationId xmlns:a16="http://schemas.microsoft.com/office/drawing/2014/main" id="{076C188C-623E-4C11-902D-F6872721D999}"/>
            </a:ext>
          </a:extLst>
        </xdr:cNvPr>
        <xdr:cNvCxnSpPr/>
      </xdr:nvCxnSpPr>
      <xdr:spPr bwMode="auto">
        <a:xfrm>
          <a:off x="6117548" y="4545662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454936</xdr:colOff>
      <xdr:row>22</xdr:row>
      <xdr:rowOff>73674</xdr:rowOff>
    </xdr:from>
    <xdr:to>
      <xdr:col>10</xdr:col>
      <xdr:colOff>454936</xdr:colOff>
      <xdr:row>23</xdr:row>
      <xdr:rowOff>143026</xdr:rowOff>
    </xdr:to>
    <xdr:cxnSp macro="">
      <xdr:nvCxnSpPr>
        <xdr:cNvPr id="69" name="Conector reto 68">
          <a:extLst>
            <a:ext uri="{FF2B5EF4-FFF2-40B4-BE49-F238E27FC236}">
              <a16:creationId xmlns:a16="http://schemas.microsoft.com/office/drawing/2014/main" id="{89A943E4-5B94-46E2-BD01-7CFBF3CD82DC}"/>
            </a:ext>
          </a:extLst>
        </xdr:cNvPr>
        <xdr:cNvCxnSpPr/>
      </xdr:nvCxnSpPr>
      <xdr:spPr bwMode="auto">
        <a:xfrm>
          <a:off x="6712861" y="4545662"/>
          <a:ext cx="0" cy="25032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502243</xdr:colOff>
      <xdr:row>21</xdr:row>
      <xdr:rowOff>156359</xdr:rowOff>
    </xdr:from>
    <xdr:to>
      <xdr:col>10</xdr:col>
      <xdr:colOff>426043</xdr:colOff>
      <xdr:row>22</xdr:row>
      <xdr:rowOff>166066</xdr:rowOff>
    </xdr:to>
    <xdr:sp macro="" textlink="#REF!">
      <xdr:nvSpPr>
        <xdr:cNvPr id="70" name="Espaço Reservado para Texto 2">
          <a:extLst>
            <a:ext uri="{FF2B5EF4-FFF2-40B4-BE49-F238E27FC236}">
              <a16:creationId xmlns:a16="http://schemas.microsoft.com/office/drawing/2014/main" id="{8FEB6138-25CD-44A1-B367-F4BEE53339A6}"/>
            </a:ext>
          </a:extLst>
        </xdr:cNvPr>
        <xdr:cNvSpPr>
          <a:spLocks noGrp="1"/>
        </xdr:cNvSpPr>
      </xdr:nvSpPr>
      <xdr:spPr bwMode="auto">
        <a:xfrm>
          <a:off x="6150568" y="4447372"/>
          <a:ext cx="533400" cy="190682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2BEE8A52-9791-4FAF-89C2-AF9D1F353015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0%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13</xdr:col>
      <xdr:colOff>297790</xdr:colOff>
      <xdr:row>22</xdr:row>
      <xdr:rowOff>116530</xdr:rowOff>
    </xdr:from>
    <xdr:to>
      <xdr:col>13</xdr:col>
      <xdr:colOff>297790</xdr:colOff>
      <xdr:row>24</xdr:row>
      <xdr:rowOff>4907</xdr:rowOff>
    </xdr:to>
    <xdr:cxnSp macro="">
      <xdr:nvCxnSpPr>
        <xdr:cNvPr id="71" name="Conector reto 70">
          <a:extLst>
            <a:ext uri="{FF2B5EF4-FFF2-40B4-BE49-F238E27FC236}">
              <a16:creationId xmlns:a16="http://schemas.microsoft.com/office/drawing/2014/main" id="{2175D8B6-A02A-400E-A5B4-1F5EEC1844F0}"/>
            </a:ext>
          </a:extLst>
        </xdr:cNvPr>
        <xdr:cNvCxnSpPr/>
      </xdr:nvCxnSpPr>
      <xdr:spPr bwMode="auto">
        <a:xfrm flipV="1">
          <a:off x="8384515" y="4588518"/>
          <a:ext cx="0" cy="25032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297790</xdr:colOff>
      <xdr:row>22</xdr:row>
      <xdr:rowOff>116530</xdr:rowOff>
    </xdr:from>
    <xdr:to>
      <xdr:col>14</xdr:col>
      <xdr:colOff>283503</xdr:colOff>
      <xdr:row>22</xdr:row>
      <xdr:rowOff>116530</xdr:rowOff>
    </xdr:to>
    <xdr:cxnSp macro="">
      <xdr:nvCxnSpPr>
        <xdr:cNvPr id="72" name="Conector reto 71">
          <a:extLst>
            <a:ext uri="{FF2B5EF4-FFF2-40B4-BE49-F238E27FC236}">
              <a16:creationId xmlns:a16="http://schemas.microsoft.com/office/drawing/2014/main" id="{F3A6ADB0-2B52-452D-97CE-E1D765160759}"/>
            </a:ext>
          </a:extLst>
        </xdr:cNvPr>
        <xdr:cNvCxnSpPr/>
      </xdr:nvCxnSpPr>
      <xdr:spPr bwMode="auto">
        <a:xfrm>
          <a:off x="8384515" y="4588518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283503</xdr:colOff>
      <xdr:row>22</xdr:row>
      <xdr:rowOff>116530</xdr:rowOff>
    </xdr:from>
    <xdr:to>
      <xdr:col>14</xdr:col>
      <xdr:colOff>283503</xdr:colOff>
      <xdr:row>24</xdr:row>
      <xdr:rowOff>4907</xdr:rowOff>
    </xdr:to>
    <xdr:cxnSp macro="">
      <xdr:nvCxnSpPr>
        <xdr:cNvPr id="73" name="Conector reto 72">
          <a:extLst>
            <a:ext uri="{FF2B5EF4-FFF2-40B4-BE49-F238E27FC236}">
              <a16:creationId xmlns:a16="http://schemas.microsoft.com/office/drawing/2014/main" id="{56C349AF-DC6E-4823-B2FD-C16FE3D9429C}"/>
            </a:ext>
          </a:extLst>
        </xdr:cNvPr>
        <xdr:cNvCxnSpPr/>
      </xdr:nvCxnSpPr>
      <xdr:spPr bwMode="auto">
        <a:xfrm>
          <a:off x="8979828" y="4588518"/>
          <a:ext cx="0" cy="25032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330810</xdr:colOff>
      <xdr:row>22</xdr:row>
      <xdr:rowOff>18240</xdr:rowOff>
    </xdr:from>
    <xdr:to>
      <xdr:col>14</xdr:col>
      <xdr:colOff>254610</xdr:colOff>
      <xdr:row>23</xdr:row>
      <xdr:rowOff>27947</xdr:rowOff>
    </xdr:to>
    <xdr:sp macro="" textlink="#REF!">
      <xdr:nvSpPr>
        <xdr:cNvPr id="74" name="Espaço Reservado para Texto 2">
          <a:extLst>
            <a:ext uri="{FF2B5EF4-FFF2-40B4-BE49-F238E27FC236}">
              <a16:creationId xmlns:a16="http://schemas.microsoft.com/office/drawing/2014/main" id="{96495B77-44A4-4DAB-A31D-798700004276}"/>
            </a:ext>
          </a:extLst>
        </xdr:cNvPr>
        <xdr:cNvSpPr>
          <a:spLocks noGrp="1"/>
        </xdr:cNvSpPr>
      </xdr:nvSpPr>
      <xdr:spPr bwMode="auto">
        <a:xfrm>
          <a:off x="8417535" y="4490228"/>
          <a:ext cx="533400" cy="190682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E8B97B4F-6289-4CE8-AD2F-1A56C7429B2F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0%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17</xdr:col>
      <xdr:colOff>73958</xdr:colOff>
      <xdr:row>22</xdr:row>
      <xdr:rowOff>102252</xdr:rowOff>
    </xdr:from>
    <xdr:to>
      <xdr:col>17</xdr:col>
      <xdr:colOff>73958</xdr:colOff>
      <xdr:row>23</xdr:row>
      <xdr:rowOff>171604</xdr:rowOff>
    </xdr:to>
    <xdr:cxnSp macro="">
      <xdr:nvCxnSpPr>
        <xdr:cNvPr id="75" name="Conector reto 74">
          <a:extLst>
            <a:ext uri="{FF2B5EF4-FFF2-40B4-BE49-F238E27FC236}">
              <a16:creationId xmlns:a16="http://schemas.microsoft.com/office/drawing/2014/main" id="{D0C479D1-81F3-4EB5-8418-FA61FF7B9A63}"/>
            </a:ext>
          </a:extLst>
        </xdr:cNvPr>
        <xdr:cNvCxnSpPr/>
      </xdr:nvCxnSpPr>
      <xdr:spPr bwMode="auto">
        <a:xfrm flipV="1">
          <a:off x="10599083" y="4574240"/>
          <a:ext cx="0" cy="25032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73958</xdr:colOff>
      <xdr:row>22</xdr:row>
      <xdr:rowOff>102252</xdr:rowOff>
    </xdr:from>
    <xdr:to>
      <xdr:col>18</xdr:col>
      <xdr:colOff>59671</xdr:colOff>
      <xdr:row>22</xdr:row>
      <xdr:rowOff>102252</xdr:rowOff>
    </xdr:to>
    <xdr:cxnSp macro="">
      <xdr:nvCxnSpPr>
        <xdr:cNvPr id="76" name="Conector reto 75">
          <a:extLst>
            <a:ext uri="{FF2B5EF4-FFF2-40B4-BE49-F238E27FC236}">
              <a16:creationId xmlns:a16="http://schemas.microsoft.com/office/drawing/2014/main" id="{D8984DF2-6EEC-4886-B94E-6EFD30540FA2}"/>
            </a:ext>
          </a:extLst>
        </xdr:cNvPr>
        <xdr:cNvCxnSpPr/>
      </xdr:nvCxnSpPr>
      <xdr:spPr bwMode="auto">
        <a:xfrm>
          <a:off x="10599083" y="4574240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59671</xdr:colOff>
      <xdr:row>22</xdr:row>
      <xdr:rowOff>102252</xdr:rowOff>
    </xdr:from>
    <xdr:to>
      <xdr:col>18</xdr:col>
      <xdr:colOff>59671</xdr:colOff>
      <xdr:row>23</xdr:row>
      <xdr:rowOff>171604</xdr:rowOff>
    </xdr:to>
    <xdr:cxnSp macro="">
      <xdr:nvCxnSpPr>
        <xdr:cNvPr id="77" name="Conector reto 76">
          <a:extLst>
            <a:ext uri="{FF2B5EF4-FFF2-40B4-BE49-F238E27FC236}">
              <a16:creationId xmlns:a16="http://schemas.microsoft.com/office/drawing/2014/main" id="{B18F9BB4-F6C0-4583-BC04-B49DF2633F30}"/>
            </a:ext>
          </a:extLst>
        </xdr:cNvPr>
        <xdr:cNvCxnSpPr/>
      </xdr:nvCxnSpPr>
      <xdr:spPr bwMode="auto">
        <a:xfrm>
          <a:off x="11194396" y="4574240"/>
          <a:ext cx="0" cy="250327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106978</xdr:colOff>
      <xdr:row>22</xdr:row>
      <xdr:rowOff>3962</xdr:rowOff>
    </xdr:from>
    <xdr:to>
      <xdr:col>18</xdr:col>
      <xdr:colOff>30778</xdr:colOff>
      <xdr:row>23</xdr:row>
      <xdr:rowOff>13669</xdr:rowOff>
    </xdr:to>
    <xdr:sp macro="" textlink="#REF!">
      <xdr:nvSpPr>
        <xdr:cNvPr id="78" name="Espaço Reservado para Texto 2">
          <a:extLst>
            <a:ext uri="{FF2B5EF4-FFF2-40B4-BE49-F238E27FC236}">
              <a16:creationId xmlns:a16="http://schemas.microsoft.com/office/drawing/2014/main" id="{1ADAB4C4-5AE4-4959-8B7A-F3FDC18BBC10}"/>
            </a:ext>
          </a:extLst>
        </xdr:cNvPr>
        <xdr:cNvSpPr>
          <a:spLocks noGrp="1"/>
        </xdr:cNvSpPr>
      </xdr:nvSpPr>
      <xdr:spPr bwMode="auto">
        <a:xfrm>
          <a:off x="10632103" y="4475950"/>
          <a:ext cx="533400" cy="190682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14D9896B-FDF6-4866-A47A-5FB3BA670303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0%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9</xdr:col>
      <xdr:colOff>483101</xdr:colOff>
      <xdr:row>31</xdr:row>
      <xdr:rowOff>75724</xdr:rowOff>
    </xdr:from>
    <xdr:to>
      <xdr:col>9</xdr:col>
      <xdr:colOff>483101</xdr:colOff>
      <xdr:row>32</xdr:row>
      <xdr:rowOff>145076</xdr:rowOff>
    </xdr:to>
    <xdr:cxnSp macro="">
      <xdr:nvCxnSpPr>
        <xdr:cNvPr id="79" name="Conector reto 78">
          <a:extLst>
            <a:ext uri="{FF2B5EF4-FFF2-40B4-BE49-F238E27FC236}">
              <a16:creationId xmlns:a16="http://schemas.microsoft.com/office/drawing/2014/main" id="{A07158E8-AEC2-4194-A9A9-C54C307893B3}"/>
            </a:ext>
          </a:extLst>
        </xdr:cNvPr>
        <xdr:cNvCxnSpPr/>
      </xdr:nvCxnSpPr>
      <xdr:spPr bwMode="auto">
        <a:xfrm flipV="1">
          <a:off x="6130610" y="6302353"/>
          <a:ext cx="0" cy="252232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483101</xdr:colOff>
      <xdr:row>31</xdr:row>
      <xdr:rowOff>75724</xdr:rowOff>
    </xdr:from>
    <xdr:to>
      <xdr:col>10</xdr:col>
      <xdr:colOff>468814</xdr:colOff>
      <xdr:row>31</xdr:row>
      <xdr:rowOff>75724</xdr:rowOff>
    </xdr:to>
    <xdr:cxnSp macro="">
      <xdr:nvCxnSpPr>
        <xdr:cNvPr id="80" name="Conector reto 79">
          <a:extLst>
            <a:ext uri="{FF2B5EF4-FFF2-40B4-BE49-F238E27FC236}">
              <a16:creationId xmlns:a16="http://schemas.microsoft.com/office/drawing/2014/main" id="{95FECA67-363B-4C38-9AC5-F1D6A46EB269}"/>
            </a:ext>
          </a:extLst>
        </xdr:cNvPr>
        <xdr:cNvCxnSpPr/>
      </xdr:nvCxnSpPr>
      <xdr:spPr bwMode="auto">
        <a:xfrm>
          <a:off x="6130610" y="6302353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468814</xdr:colOff>
      <xdr:row>31</xdr:row>
      <xdr:rowOff>75724</xdr:rowOff>
    </xdr:from>
    <xdr:to>
      <xdr:col>10</xdr:col>
      <xdr:colOff>468814</xdr:colOff>
      <xdr:row>32</xdr:row>
      <xdr:rowOff>145076</xdr:rowOff>
    </xdr:to>
    <xdr:cxnSp macro="">
      <xdr:nvCxnSpPr>
        <xdr:cNvPr id="81" name="Conector reto 80">
          <a:extLst>
            <a:ext uri="{FF2B5EF4-FFF2-40B4-BE49-F238E27FC236}">
              <a16:creationId xmlns:a16="http://schemas.microsoft.com/office/drawing/2014/main" id="{580D6A06-FC99-4243-807D-DA937283A317}"/>
            </a:ext>
          </a:extLst>
        </xdr:cNvPr>
        <xdr:cNvCxnSpPr/>
      </xdr:nvCxnSpPr>
      <xdr:spPr bwMode="auto">
        <a:xfrm>
          <a:off x="6725923" y="6302353"/>
          <a:ext cx="0" cy="252232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516121</xdr:colOff>
      <xdr:row>30</xdr:row>
      <xdr:rowOff>158409</xdr:rowOff>
    </xdr:from>
    <xdr:to>
      <xdr:col>10</xdr:col>
      <xdr:colOff>439921</xdr:colOff>
      <xdr:row>31</xdr:row>
      <xdr:rowOff>168116</xdr:rowOff>
    </xdr:to>
    <xdr:sp macro="" textlink="#REF!">
      <xdr:nvSpPr>
        <xdr:cNvPr id="82" name="Espaço Reservado para Texto 2">
          <a:extLst>
            <a:ext uri="{FF2B5EF4-FFF2-40B4-BE49-F238E27FC236}">
              <a16:creationId xmlns:a16="http://schemas.microsoft.com/office/drawing/2014/main" id="{A5B01A70-A550-4C10-9B43-E0B791095C7D}"/>
            </a:ext>
          </a:extLst>
        </xdr:cNvPr>
        <xdr:cNvSpPr>
          <a:spLocks noGrp="1"/>
        </xdr:cNvSpPr>
      </xdr:nvSpPr>
      <xdr:spPr bwMode="auto">
        <a:xfrm>
          <a:off x="6163630" y="6202158"/>
          <a:ext cx="533400" cy="192587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7CAAB099-E387-42E6-89FF-32DDDF6175B2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0%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13</xdr:col>
      <xdr:colOff>300220</xdr:colOff>
      <xdr:row>31</xdr:row>
      <xdr:rowOff>53952</xdr:rowOff>
    </xdr:from>
    <xdr:to>
      <xdr:col>13</xdr:col>
      <xdr:colOff>300220</xdr:colOff>
      <xdr:row>32</xdr:row>
      <xdr:rowOff>123304</xdr:rowOff>
    </xdr:to>
    <xdr:cxnSp macro="">
      <xdr:nvCxnSpPr>
        <xdr:cNvPr id="83" name="Conector reto 82">
          <a:extLst>
            <a:ext uri="{FF2B5EF4-FFF2-40B4-BE49-F238E27FC236}">
              <a16:creationId xmlns:a16="http://schemas.microsoft.com/office/drawing/2014/main" id="{A81A132E-F83D-441C-BD61-0A10A905B4A3}"/>
            </a:ext>
          </a:extLst>
        </xdr:cNvPr>
        <xdr:cNvCxnSpPr/>
      </xdr:nvCxnSpPr>
      <xdr:spPr bwMode="auto">
        <a:xfrm flipV="1">
          <a:off x="8386129" y="6280581"/>
          <a:ext cx="0" cy="252232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300220</xdr:colOff>
      <xdr:row>31</xdr:row>
      <xdr:rowOff>53952</xdr:rowOff>
    </xdr:from>
    <xdr:to>
      <xdr:col>14</xdr:col>
      <xdr:colOff>285933</xdr:colOff>
      <xdr:row>31</xdr:row>
      <xdr:rowOff>53952</xdr:rowOff>
    </xdr:to>
    <xdr:cxnSp macro="">
      <xdr:nvCxnSpPr>
        <xdr:cNvPr id="84" name="Conector reto 83">
          <a:extLst>
            <a:ext uri="{FF2B5EF4-FFF2-40B4-BE49-F238E27FC236}">
              <a16:creationId xmlns:a16="http://schemas.microsoft.com/office/drawing/2014/main" id="{1C1C0D7B-8471-451C-901D-E98295F37589}"/>
            </a:ext>
          </a:extLst>
        </xdr:cNvPr>
        <xdr:cNvCxnSpPr/>
      </xdr:nvCxnSpPr>
      <xdr:spPr bwMode="auto">
        <a:xfrm>
          <a:off x="8386129" y="6280581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285933</xdr:colOff>
      <xdr:row>31</xdr:row>
      <xdr:rowOff>53952</xdr:rowOff>
    </xdr:from>
    <xdr:to>
      <xdr:col>14</xdr:col>
      <xdr:colOff>285933</xdr:colOff>
      <xdr:row>32</xdr:row>
      <xdr:rowOff>123304</xdr:rowOff>
    </xdr:to>
    <xdr:cxnSp macro="">
      <xdr:nvCxnSpPr>
        <xdr:cNvPr id="85" name="Conector reto 84">
          <a:extLst>
            <a:ext uri="{FF2B5EF4-FFF2-40B4-BE49-F238E27FC236}">
              <a16:creationId xmlns:a16="http://schemas.microsoft.com/office/drawing/2014/main" id="{9C013565-DF58-4625-8421-81A6D3A85621}"/>
            </a:ext>
          </a:extLst>
        </xdr:cNvPr>
        <xdr:cNvCxnSpPr/>
      </xdr:nvCxnSpPr>
      <xdr:spPr bwMode="auto">
        <a:xfrm>
          <a:off x="8981442" y="6280581"/>
          <a:ext cx="0" cy="252232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333240</xdr:colOff>
      <xdr:row>30</xdr:row>
      <xdr:rowOff>136637</xdr:rowOff>
    </xdr:from>
    <xdr:to>
      <xdr:col>14</xdr:col>
      <xdr:colOff>257040</xdr:colOff>
      <xdr:row>31</xdr:row>
      <xdr:rowOff>146344</xdr:rowOff>
    </xdr:to>
    <xdr:sp macro="" textlink="#REF!">
      <xdr:nvSpPr>
        <xdr:cNvPr id="86" name="Espaço Reservado para Texto 2">
          <a:extLst>
            <a:ext uri="{FF2B5EF4-FFF2-40B4-BE49-F238E27FC236}">
              <a16:creationId xmlns:a16="http://schemas.microsoft.com/office/drawing/2014/main" id="{B6391D93-F112-4205-B85B-7332F3AA7527}"/>
            </a:ext>
          </a:extLst>
        </xdr:cNvPr>
        <xdr:cNvSpPr>
          <a:spLocks noGrp="1"/>
        </xdr:cNvSpPr>
      </xdr:nvSpPr>
      <xdr:spPr bwMode="auto">
        <a:xfrm>
          <a:off x="8419149" y="6180386"/>
          <a:ext cx="533400" cy="192587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CD7766A3-2756-44DC-9D10-0705E59C2569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3632%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17</xdr:col>
      <xdr:colOff>56387</xdr:colOff>
      <xdr:row>31</xdr:row>
      <xdr:rowOff>58306</xdr:rowOff>
    </xdr:from>
    <xdr:to>
      <xdr:col>17</xdr:col>
      <xdr:colOff>56387</xdr:colOff>
      <xdr:row>32</xdr:row>
      <xdr:rowOff>127658</xdr:rowOff>
    </xdr:to>
    <xdr:cxnSp macro="">
      <xdr:nvCxnSpPr>
        <xdr:cNvPr id="87" name="Conector reto 86">
          <a:extLst>
            <a:ext uri="{FF2B5EF4-FFF2-40B4-BE49-F238E27FC236}">
              <a16:creationId xmlns:a16="http://schemas.microsoft.com/office/drawing/2014/main" id="{177D2FAB-41C3-40C8-ACB0-DC7181B824FD}"/>
            </a:ext>
          </a:extLst>
        </xdr:cNvPr>
        <xdr:cNvCxnSpPr/>
      </xdr:nvCxnSpPr>
      <xdr:spPr bwMode="auto">
        <a:xfrm flipV="1">
          <a:off x="10580696" y="6284935"/>
          <a:ext cx="0" cy="252232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56387</xdr:colOff>
      <xdr:row>31</xdr:row>
      <xdr:rowOff>58306</xdr:rowOff>
    </xdr:from>
    <xdr:to>
      <xdr:col>18</xdr:col>
      <xdr:colOff>42100</xdr:colOff>
      <xdr:row>31</xdr:row>
      <xdr:rowOff>58306</xdr:rowOff>
    </xdr:to>
    <xdr:cxnSp macro="">
      <xdr:nvCxnSpPr>
        <xdr:cNvPr id="88" name="Conector reto 87">
          <a:extLst>
            <a:ext uri="{FF2B5EF4-FFF2-40B4-BE49-F238E27FC236}">
              <a16:creationId xmlns:a16="http://schemas.microsoft.com/office/drawing/2014/main" id="{4604DBF4-88FD-46D4-AEBF-C0F83106802D}"/>
            </a:ext>
          </a:extLst>
        </xdr:cNvPr>
        <xdr:cNvCxnSpPr/>
      </xdr:nvCxnSpPr>
      <xdr:spPr bwMode="auto">
        <a:xfrm>
          <a:off x="10580696" y="6284935"/>
          <a:ext cx="595313" cy="0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42100</xdr:colOff>
      <xdr:row>31</xdr:row>
      <xdr:rowOff>58306</xdr:rowOff>
    </xdr:from>
    <xdr:to>
      <xdr:col>18</xdr:col>
      <xdr:colOff>42100</xdr:colOff>
      <xdr:row>32</xdr:row>
      <xdr:rowOff>127658</xdr:rowOff>
    </xdr:to>
    <xdr:cxnSp macro="">
      <xdr:nvCxnSpPr>
        <xdr:cNvPr id="89" name="Conector reto 88">
          <a:extLst>
            <a:ext uri="{FF2B5EF4-FFF2-40B4-BE49-F238E27FC236}">
              <a16:creationId xmlns:a16="http://schemas.microsoft.com/office/drawing/2014/main" id="{38699271-8594-46D9-AE52-6E0E0CF97894}"/>
            </a:ext>
          </a:extLst>
        </xdr:cNvPr>
        <xdr:cNvCxnSpPr/>
      </xdr:nvCxnSpPr>
      <xdr:spPr bwMode="auto">
        <a:xfrm>
          <a:off x="11176009" y="6284935"/>
          <a:ext cx="0" cy="252232"/>
        </a:xfrm>
        <a:prstGeom prst="line">
          <a:avLst/>
        </a:prstGeom>
        <a:ln w="12700" cap="flat" cmpd="sng" algn="ctr">
          <a:solidFill>
            <a:schemeClr val="tx1"/>
          </a:solidFill>
          <a:prstDash val="solid"/>
          <a:miter lim="800000"/>
          <a:headEnd type="none" w="med" len="med"/>
          <a:tailEnd type="triangle" w="med" len="med"/>
        </a:ln>
        <a:effectLst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89407</xdr:colOff>
      <xdr:row>30</xdr:row>
      <xdr:rowOff>140991</xdr:rowOff>
    </xdr:from>
    <xdr:to>
      <xdr:col>18</xdr:col>
      <xdr:colOff>13207</xdr:colOff>
      <xdr:row>31</xdr:row>
      <xdr:rowOff>150698</xdr:rowOff>
    </xdr:to>
    <xdr:sp macro="" textlink="#REF!">
      <xdr:nvSpPr>
        <xdr:cNvPr id="90" name="Espaço Reservado para Texto 2">
          <a:extLst>
            <a:ext uri="{FF2B5EF4-FFF2-40B4-BE49-F238E27FC236}">
              <a16:creationId xmlns:a16="http://schemas.microsoft.com/office/drawing/2014/main" id="{641D0177-7398-491F-81C5-0333263077A6}"/>
            </a:ext>
          </a:extLst>
        </xdr:cNvPr>
        <xdr:cNvSpPr>
          <a:spLocks noGrp="1"/>
        </xdr:cNvSpPr>
      </xdr:nvSpPr>
      <xdr:spPr bwMode="auto">
        <a:xfrm>
          <a:off x="10613716" y="6184740"/>
          <a:ext cx="533400" cy="192587"/>
        </a:xfrm>
        <a:prstGeom prst="ellipse">
          <a:avLst/>
        </a:prstGeom>
        <a:solidFill>
          <a:schemeClr val="bg1"/>
        </a:solidFill>
        <a:ln w="9525" cmpd="sng" algn="ctr">
          <a:solidFill>
            <a:schemeClr val="tx1"/>
          </a:solidFill>
        </a:ln>
        <a:effectLst/>
      </xdr:spPr>
      <xdr:txBody>
        <a:bodyPr vert="horz" wrap="square" lIns="0" tIns="0" rIns="0" bIns="0" rtlCol="0" anchor="ctr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>
            <a:spcBef>
              <a:spcPct val="0"/>
            </a:spcBef>
            <a:spcAft>
              <a:spcPct val="0"/>
            </a:spcAft>
            <a:buNone/>
          </a:pPr>
          <a:fld id="{5473BC4A-AA0C-4CEF-B907-4D68F2360E7D}" type="TxLink">
            <a:rPr lang="en-US" sz="1100" b="0" i="0" u="none" strike="noStrike">
              <a:solidFill>
                <a:srgbClr val="000000"/>
              </a:solidFill>
              <a:latin typeface="Aptos Narrow"/>
              <a:sym typeface="Votorantim Sans" panose="02010503030202050203" pitchFamily="2" charset="0"/>
            </a:rPr>
            <a:pPr marL="0" lvl="0" indent="0" algn="ctr">
              <a:spcBef>
                <a:spcPct val="0"/>
              </a:spcBef>
              <a:spcAft>
                <a:spcPct val="0"/>
              </a:spcAft>
              <a:buNone/>
            </a:pPr>
            <a:t>3205%</a:t>
          </a:fld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482600</xdr:colOff>
      <xdr:row>0</xdr:row>
      <xdr:rowOff>0</xdr:rowOff>
    </xdr:from>
    <xdr:to>
      <xdr:col>17</xdr:col>
      <xdr:colOff>177800</xdr:colOff>
      <xdr:row>0</xdr:row>
      <xdr:rowOff>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32689A4-4EE8-46F4-BE61-DDF6ABF573BB}"/>
            </a:ext>
          </a:extLst>
        </xdr:cNvPr>
        <xdr:cNvSpPr txBox="1"/>
      </xdr:nvSpPr>
      <xdr:spPr>
        <a:xfrm>
          <a:off x="15532100" y="0"/>
          <a:ext cx="304800" cy="552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3600" b="0">
            <a:solidFill>
              <a:schemeClr val="accent1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17</xdr:col>
      <xdr:colOff>216747</xdr:colOff>
      <xdr:row>0</xdr:row>
      <xdr:rowOff>76200</xdr:rowOff>
    </xdr:from>
    <xdr:to>
      <xdr:col>17</xdr:col>
      <xdr:colOff>521547</xdr:colOff>
      <xdr:row>2</xdr:row>
      <xdr:rowOff>262467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92548F2-526B-4444-807E-7AB7EF38D2D4}"/>
            </a:ext>
          </a:extLst>
        </xdr:cNvPr>
        <xdr:cNvSpPr txBox="1"/>
      </xdr:nvSpPr>
      <xdr:spPr>
        <a:xfrm>
          <a:off x="10579947" y="76200"/>
          <a:ext cx="304800" cy="552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/>
            <a:t>_</a:t>
          </a:r>
        </a:p>
      </xdr:txBody>
    </xdr:sp>
    <xdr:clientData/>
  </xdr:twoCellAnchor>
  <xdr:twoCellAnchor>
    <xdr:from>
      <xdr:col>19</xdr:col>
      <xdr:colOff>208280</xdr:colOff>
      <xdr:row>0</xdr:row>
      <xdr:rowOff>68580</xdr:rowOff>
    </xdr:from>
    <xdr:to>
      <xdr:col>19</xdr:col>
      <xdr:colOff>513080</xdr:colOff>
      <xdr:row>2</xdr:row>
      <xdr:rowOff>297180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BB1E83E-50C9-440D-AB3A-959CE8E2E3EF}"/>
            </a:ext>
          </a:extLst>
        </xdr:cNvPr>
        <xdr:cNvSpPr txBox="1"/>
      </xdr:nvSpPr>
      <xdr:spPr>
        <a:xfrm>
          <a:off x="11790680" y="68580"/>
          <a:ext cx="304800" cy="594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0">
              <a:solidFill>
                <a:schemeClr val="accent1">
                  <a:lumMod val="90000"/>
                  <a:lumOff val="10000"/>
                </a:schemeClr>
              </a:solidFill>
            </a:rPr>
            <a:t>_</a:t>
          </a:r>
        </a:p>
      </xdr:txBody>
    </xdr:sp>
    <xdr:clientData/>
  </xdr:twoCellAnchor>
  <xdr:oneCellAnchor>
    <xdr:from>
      <xdr:col>0</xdr:col>
      <xdr:colOff>564726</xdr:colOff>
      <xdr:row>14</xdr:row>
      <xdr:rowOff>20531</xdr:rowOff>
    </xdr:from>
    <xdr:ext cx="6928274" cy="1566333"/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6788D72-73CF-43A9-8F6B-ACCF8DD5A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15240</xdr:colOff>
      <xdr:row>4</xdr:row>
      <xdr:rowOff>76621</xdr:rowOff>
    </xdr:from>
    <xdr:ext cx="6648026" cy="1549083"/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85EE266-9ACB-4837-A09D-E938370A5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22013</xdr:colOff>
      <xdr:row>23</xdr:row>
      <xdr:rowOff>154728</xdr:rowOff>
    </xdr:from>
    <xdr:ext cx="6666653" cy="1524422"/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4D6416F-4634-44D0-AA94-A0DA7C066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505458</xdr:colOff>
      <xdr:row>32</xdr:row>
      <xdr:rowOff>153670</xdr:rowOff>
    </xdr:from>
    <xdr:ext cx="6725075" cy="1471084"/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B7D4846-F13A-4682-9FAF-32396C437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13</xdr:col>
      <xdr:colOff>269240</xdr:colOff>
      <xdr:row>4</xdr:row>
      <xdr:rowOff>68260</xdr:rowOff>
    </xdr:from>
    <xdr:ext cx="6681894" cy="1565805"/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1A3E3FF-308A-4381-831E-4BBE07EAD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13</xdr:col>
      <xdr:colOff>159171</xdr:colOff>
      <xdr:row>14</xdr:row>
      <xdr:rowOff>85796</xdr:rowOff>
    </xdr:from>
    <xdr:ext cx="6965529" cy="1529643"/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F402ED4-DFBF-465F-94C5-DD96A3935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13</xdr:col>
      <xdr:colOff>143933</xdr:colOff>
      <xdr:row>24</xdr:row>
      <xdr:rowOff>59974</xdr:rowOff>
    </xdr:from>
    <xdr:ext cx="6985000" cy="1348170"/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2F9721D-95BD-4203-A9CD-4A7569BE5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13</xdr:col>
      <xdr:colOff>262466</xdr:colOff>
      <xdr:row>32</xdr:row>
      <xdr:rowOff>133212</xdr:rowOff>
    </xdr:from>
    <xdr:ext cx="6824134" cy="1512000"/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2A1C3FB-3821-4A88-8F2A-11987D20C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twoCellAnchor>
    <xdr:from>
      <xdr:col>0</xdr:col>
      <xdr:colOff>347131</xdr:colOff>
      <xdr:row>4</xdr:row>
      <xdr:rowOff>10160</xdr:rowOff>
    </xdr:from>
    <xdr:to>
      <xdr:col>12</xdr:col>
      <xdr:colOff>169332</xdr:colOff>
      <xdr:row>13</xdr:row>
      <xdr:rowOff>35560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24980096-A0F6-4E1D-955F-E31BB50EAAD6}"/>
            </a:ext>
          </a:extLst>
        </xdr:cNvPr>
        <xdr:cNvSpPr/>
      </xdr:nvSpPr>
      <xdr:spPr>
        <a:xfrm>
          <a:off x="347131" y="871220"/>
          <a:ext cx="7137401" cy="1671320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296332</xdr:colOff>
      <xdr:row>13</xdr:row>
      <xdr:rowOff>176107</xdr:rowOff>
    </xdr:from>
    <xdr:to>
      <xdr:col>12</xdr:col>
      <xdr:colOff>194733</xdr:colOff>
      <xdr:row>23</xdr:row>
      <xdr:rowOff>44028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30F8559A-FAB2-47A1-AC31-ACFCB4B43BFD}"/>
            </a:ext>
          </a:extLst>
        </xdr:cNvPr>
        <xdr:cNvSpPr/>
      </xdr:nvSpPr>
      <xdr:spPr>
        <a:xfrm>
          <a:off x="296332" y="2683087"/>
          <a:ext cx="7213601" cy="1696721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313266</xdr:colOff>
      <xdr:row>23</xdr:row>
      <xdr:rowOff>110067</xdr:rowOff>
    </xdr:from>
    <xdr:to>
      <xdr:col>12</xdr:col>
      <xdr:colOff>211667</xdr:colOff>
      <xdr:row>32</xdr:row>
      <xdr:rowOff>59268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55BD59BF-3C5A-4B62-B46A-51D7D8697275}"/>
            </a:ext>
          </a:extLst>
        </xdr:cNvPr>
        <xdr:cNvSpPr/>
      </xdr:nvSpPr>
      <xdr:spPr>
        <a:xfrm>
          <a:off x="313266" y="4445847"/>
          <a:ext cx="7213601" cy="1595121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287865</xdr:colOff>
      <xdr:row>32</xdr:row>
      <xdr:rowOff>152400</xdr:rowOff>
    </xdr:from>
    <xdr:to>
      <xdr:col>12</xdr:col>
      <xdr:colOff>186266</xdr:colOff>
      <xdr:row>41</xdr:row>
      <xdr:rowOff>101600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01C7BCF6-8C7A-4555-959E-010B2D4AD83B}"/>
            </a:ext>
          </a:extLst>
        </xdr:cNvPr>
        <xdr:cNvSpPr/>
      </xdr:nvSpPr>
      <xdr:spPr>
        <a:xfrm>
          <a:off x="287865" y="6134100"/>
          <a:ext cx="7213601" cy="1595120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101598</xdr:colOff>
      <xdr:row>4</xdr:row>
      <xdr:rowOff>11854</xdr:rowOff>
    </xdr:from>
    <xdr:to>
      <xdr:col>24</xdr:col>
      <xdr:colOff>533399</xdr:colOff>
      <xdr:row>13</xdr:row>
      <xdr:rowOff>33867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CD50F16F-53E2-418D-8E3C-7BF6F09915BC}"/>
            </a:ext>
          </a:extLst>
        </xdr:cNvPr>
        <xdr:cNvSpPr/>
      </xdr:nvSpPr>
      <xdr:spPr>
        <a:xfrm>
          <a:off x="8026398" y="872914"/>
          <a:ext cx="7137401" cy="1667933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50799</xdr:colOff>
      <xdr:row>13</xdr:row>
      <xdr:rowOff>177800</xdr:rowOff>
    </xdr:from>
    <xdr:to>
      <xdr:col>24</xdr:col>
      <xdr:colOff>558800</xdr:colOff>
      <xdr:row>23</xdr:row>
      <xdr:rowOff>42334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35A51039-E06B-439A-86D7-BFF78955A14F}"/>
            </a:ext>
          </a:extLst>
        </xdr:cNvPr>
        <xdr:cNvSpPr/>
      </xdr:nvSpPr>
      <xdr:spPr>
        <a:xfrm>
          <a:off x="7975599" y="2684780"/>
          <a:ext cx="7213601" cy="1693334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67733</xdr:colOff>
      <xdr:row>23</xdr:row>
      <xdr:rowOff>110067</xdr:rowOff>
    </xdr:from>
    <xdr:to>
      <xdr:col>24</xdr:col>
      <xdr:colOff>575734</xdr:colOff>
      <xdr:row>32</xdr:row>
      <xdr:rowOff>59268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41497748-5A7D-4D82-A92E-7CB7D7B4D739}"/>
            </a:ext>
          </a:extLst>
        </xdr:cNvPr>
        <xdr:cNvSpPr/>
      </xdr:nvSpPr>
      <xdr:spPr>
        <a:xfrm>
          <a:off x="7992533" y="4445847"/>
          <a:ext cx="7213601" cy="1595121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42332</xdr:colOff>
      <xdr:row>32</xdr:row>
      <xdr:rowOff>152400</xdr:rowOff>
    </xdr:from>
    <xdr:to>
      <xdr:col>24</xdr:col>
      <xdr:colOff>550333</xdr:colOff>
      <xdr:row>41</xdr:row>
      <xdr:rowOff>101600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C59280C6-51E6-48F5-90F4-6E9222D1BE4A}"/>
            </a:ext>
          </a:extLst>
        </xdr:cNvPr>
        <xdr:cNvSpPr/>
      </xdr:nvSpPr>
      <xdr:spPr>
        <a:xfrm>
          <a:off x="7967132" y="6134100"/>
          <a:ext cx="7213601" cy="1595120"/>
        </a:xfrm>
        <a:prstGeom prst="round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363643</xdr:colOff>
      <xdr:row>2</xdr:row>
      <xdr:rowOff>181082</xdr:rowOff>
    </xdr:from>
    <xdr:to>
      <xdr:col>19</xdr:col>
      <xdr:colOff>427143</xdr:colOff>
      <xdr:row>2</xdr:row>
      <xdr:rowOff>244582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CF182BFF-812A-4FA4-9BEB-E3E37FF75FD6}"/>
            </a:ext>
          </a:extLst>
        </xdr:cNvPr>
        <xdr:cNvSpPr/>
      </xdr:nvSpPr>
      <xdr:spPr bwMode="auto">
        <a:xfrm>
          <a:off x="11946043" y="546842"/>
          <a:ext cx="63500" cy="63500"/>
        </a:xfrm>
        <a:prstGeom prst="ellipse">
          <a:avLst/>
        </a:prstGeom>
        <a:solidFill>
          <a:srgbClr val="0000BF"/>
        </a:solidFill>
        <a:ln w="9525" cap="flat" cmpd="sng" algn="ctr">
          <a:solidFill>
            <a:srgbClr val="0000BF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oneCellAnchor>
    <xdr:from>
      <xdr:col>21</xdr:col>
      <xdr:colOff>211666</xdr:colOff>
      <xdr:row>0</xdr:row>
      <xdr:rowOff>143934</xdr:rowOff>
    </xdr:from>
    <xdr:ext cx="2425941" cy="550333"/>
    <xdr:pic>
      <xdr:nvPicPr>
        <xdr:cNvPr id="30" name="Gráfico 13">
          <a:extLst>
            <a:ext uri="{FF2B5EF4-FFF2-40B4-BE49-F238E27FC236}">
              <a16:creationId xmlns:a16="http://schemas.microsoft.com/office/drawing/2014/main" id="{F890F00E-01E7-4B8F-B995-EF9C1FE97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7699566" y="143934"/>
          <a:ext cx="2425941" cy="550333"/>
        </a:xfrm>
        <a:prstGeom prst="rect">
          <a:avLst/>
        </a:prstGeom>
      </xdr:spPr>
    </xdr:pic>
    <xdr:clientData/>
  </xdr:oneCellAnchor>
  <xdr:twoCellAnchor>
    <xdr:from>
      <xdr:col>17</xdr:col>
      <xdr:colOff>375920</xdr:colOff>
      <xdr:row>2</xdr:row>
      <xdr:rowOff>188701</xdr:rowOff>
    </xdr:from>
    <xdr:to>
      <xdr:col>17</xdr:col>
      <xdr:colOff>439420</xdr:colOff>
      <xdr:row>2</xdr:row>
      <xdr:rowOff>252201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800CCA9D-795F-4BF3-BA8F-0612C6DD001E}"/>
            </a:ext>
          </a:extLst>
        </xdr:cNvPr>
        <xdr:cNvSpPr/>
      </xdr:nvSpPr>
      <xdr:spPr bwMode="auto">
        <a:xfrm>
          <a:off x="10739120" y="554461"/>
          <a:ext cx="63500" cy="63500"/>
        </a:xfrm>
        <a:prstGeom prst="ellipse">
          <a:avLst/>
        </a:prstGeom>
        <a:solidFill>
          <a:srgbClr val="2D2D2D"/>
        </a:solidFill>
        <a:ln w="9525" cap="flat" cmpd="sng" algn="ctr">
          <a:solidFill>
            <a:srgbClr val="2D2D2D"/>
          </a:solidFill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8</xdr:row>
      <xdr:rowOff>64770</xdr:rowOff>
    </xdr:from>
    <xdr:to>
      <xdr:col>22</xdr:col>
      <xdr:colOff>114300</xdr:colOff>
      <xdr:row>24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13FA2-0768-4D5D-A21F-693041C1C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388620</xdr:colOff>
      <xdr:row>0</xdr:row>
      <xdr:rowOff>76200</xdr:rowOff>
    </xdr:from>
    <xdr:to>
      <xdr:col>31</xdr:col>
      <xdr:colOff>441960</xdr:colOff>
      <xdr:row>3</xdr:row>
      <xdr:rowOff>83820</xdr:rowOff>
    </xdr:to>
    <xdr:sp macro="" textlink="">
      <xdr:nvSpPr>
        <xdr:cNvPr id="4" name="Título 1">
          <a:extLst>
            <a:ext uri="{FF2B5EF4-FFF2-40B4-BE49-F238E27FC236}">
              <a16:creationId xmlns:a16="http://schemas.microsoft.com/office/drawing/2014/main" id="{413AFDD6-022C-7EE4-91D3-7D4CCECFA307}"/>
            </a:ext>
          </a:extLst>
        </xdr:cNvPr>
        <xdr:cNvSpPr txBox="1">
          <a:spLocks/>
        </xdr:cNvSpPr>
      </xdr:nvSpPr>
      <xdr:spPr>
        <a:xfrm>
          <a:off x="388620" y="76200"/>
          <a:ext cx="10515600" cy="556260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2400" b="1" kern="1200">
              <a:solidFill>
                <a:srgbClr val="0000BF"/>
              </a:solidFill>
              <a:latin typeface="Votorantim Sans" panose="02010503030202050203" pitchFamily="2" charset="0"/>
              <a:ea typeface="+mj-ea"/>
              <a:cs typeface="Arial" panose="020B0604020202020204" pitchFamily="34" charset="0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000"/>
            <a:t>Lower EBITDA than budget due to FX impact and lower operational results in VCNA and VCBR, partially offset by VCEA and VCLatam.</a:t>
          </a:r>
        </a:p>
      </xdr:txBody>
    </xdr:sp>
    <xdr:clientData/>
  </xdr:twoCellAnchor>
  <xdr:oneCellAnchor>
    <xdr:from>
      <xdr:col>34</xdr:col>
      <xdr:colOff>76200</xdr:colOff>
      <xdr:row>0</xdr:row>
      <xdr:rowOff>167640</xdr:rowOff>
    </xdr:from>
    <xdr:ext cx="2425941" cy="550333"/>
    <xdr:pic>
      <xdr:nvPicPr>
        <xdr:cNvPr id="5" name="Gráfico 13">
          <a:extLst>
            <a:ext uri="{FF2B5EF4-FFF2-40B4-BE49-F238E27FC236}">
              <a16:creationId xmlns:a16="http://schemas.microsoft.com/office/drawing/2014/main" id="{B0CB3380-EB5F-4AD4-AE51-6B23A587C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367260" y="167640"/>
          <a:ext cx="2425941" cy="550333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7</xdr:row>
      <xdr:rowOff>99060</xdr:rowOff>
    </xdr:from>
    <xdr:to>
      <xdr:col>22</xdr:col>
      <xdr:colOff>121920</xdr:colOff>
      <xdr:row>7</xdr:row>
      <xdr:rowOff>129540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65D922E0-CE69-137B-0929-D01F639E54D6}"/>
            </a:ext>
          </a:extLst>
        </xdr:cNvPr>
        <xdr:cNvCxnSpPr/>
      </xdr:nvCxnSpPr>
      <xdr:spPr>
        <a:xfrm flipV="1">
          <a:off x="906780" y="1417320"/>
          <a:ext cx="6065520" cy="304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121920</xdr:colOff>
      <xdr:row>7</xdr:row>
      <xdr:rowOff>91440</xdr:rowOff>
    </xdr:from>
    <xdr:to>
      <xdr:col>37</xdr:col>
      <xdr:colOff>388620</xdr:colOff>
      <xdr:row>7</xdr:row>
      <xdr:rowOff>99060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948191D-E40D-40B6-B8FF-76C851D43CCB}"/>
            </a:ext>
          </a:extLst>
        </xdr:cNvPr>
        <xdr:cNvCxnSpPr/>
      </xdr:nvCxnSpPr>
      <xdr:spPr>
        <a:xfrm flipV="1">
          <a:off x="8458200" y="1455420"/>
          <a:ext cx="605028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34</xdr:col>
      <xdr:colOff>480060</xdr:colOff>
      <xdr:row>6</xdr:row>
      <xdr:rowOff>28416</xdr:rowOff>
    </xdr:from>
    <xdr:to>
      <xdr:col>35</xdr:col>
      <xdr:colOff>49848</xdr:colOff>
      <xdr:row>6</xdr:row>
      <xdr:rowOff>161766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7D5210E3-CE72-41F8-B53A-FF9C88E1BAF9}"/>
            </a:ext>
          </a:extLst>
        </xdr:cNvPr>
        <xdr:cNvSpPr/>
      </xdr:nvSpPr>
      <xdr:spPr bwMode="auto">
        <a:xfrm>
          <a:off x="12771120" y="1125696"/>
          <a:ext cx="179388" cy="133350"/>
        </a:xfrm>
        <a:prstGeom prst="rect">
          <a:avLst/>
        </a:prstGeom>
        <a:solidFill>
          <a:srgbClr val="C0C0C0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35</xdr:col>
      <xdr:colOff>427037</xdr:colOff>
      <xdr:row>6</xdr:row>
      <xdr:rowOff>28416</xdr:rowOff>
    </xdr:from>
    <xdr:to>
      <xdr:col>35</xdr:col>
      <xdr:colOff>606425</xdr:colOff>
      <xdr:row>6</xdr:row>
      <xdr:rowOff>161766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CDE1851D-8120-488F-BCEC-CFA09869420A}"/>
            </a:ext>
          </a:extLst>
        </xdr:cNvPr>
        <xdr:cNvSpPr/>
      </xdr:nvSpPr>
      <xdr:spPr bwMode="auto">
        <a:xfrm>
          <a:off x="13327697" y="1125696"/>
          <a:ext cx="179388" cy="133350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36</xdr:col>
      <xdr:colOff>368935</xdr:colOff>
      <xdr:row>6</xdr:row>
      <xdr:rowOff>28416</xdr:rowOff>
    </xdr:from>
    <xdr:to>
      <xdr:col>36</xdr:col>
      <xdr:colOff>548323</xdr:colOff>
      <xdr:row>6</xdr:row>
      <xdr:rowOff>161766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9787D7EB-1F83-4D91-8DBE-5F172FD79A70}"/>
            </a:ext>
          </a:extLst>
        </xdr:cNvPr>
        <xdr:cNvSpPr/>
      </xdr:nvSpPr>
      <xdr:spPr bwMode="auto">
        <a:xfrm>
          <a:off x="13879195" y="1125696"/>
          <a:ext cx="179388" cy="133350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35</xdr:col>
      <xdr:colOff>100647</xdr:colOff>
      <xdr:row>6</xdr:row>
      <xdr:rowOff>26829</xdr:rowOff>
    </xdr:from>
    <xdr:to>
      <xdr:col>35</xdr:col>
      <xdr:colOff>424497</xdr:colOff>
      <xdr:row>6</xdr:row>
      <xdr:rowOff>163354</xdr:rowOff>
    </xdr:to>
    <xdr:sp macro="" textlink="">
      <xdr:nvSpPr>
        <xdr:cNvPr id="13" name="Espaço Reservado para Texto 2">
          <a:extLst>
            <a:ext uri="{FF2B5EF4-FFF2-40B4-BE49-F238E27FC236}">
              <a16:creationId xmlns:a16="http://schemas.microsoft.com/office/drawing/2014/main" id="{D10EF1A6-BCC5-4744-8079-0759725E8CF0}"/>
            </a:ext>
          </a:extLst>
        </xdr:cNvPr>
        <xdr:cNvSpPr>
          <a:spLocks noGrp="1"/>
        </xdr:cNvSpPr>
      </xdr:nvSpPr>
      <xdr:spPr bwMode="auto">
        <a:xfrm>
          <a:off x="13001307" y="1124109"/>
          <a:ext cx="323850" cy="136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rgbClr r="0" g="0" b="0"/>
              </a:solidFill>
            </a14:hiddenFill>
          </a:ext>
        </a:extLst>
      </xdr:spPr>
      <xdr:txBody>
        <a:bodyPr vert="horz" wrap="square" lIns="0" tIns="0" rIns="0" bIns="0" numCol="1" spcCol="0" rtlCol="0" anchor="ctr" anchorCtr="0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spcBef>
              <a:spcPct val="0"/>
            </a:spcBef>
            <a:spcAft>
              <a:spcPct val="0"/>
            </a:spcAft>
            <a:buNone/>
          </a:pPr>
          <a:r>
            <a:rPr lang="pt-BR" altLang="en-US" sz="1000">
              <a:latin typeface="Votorantim Sans" panose="02010503030202050203" pitchFamily="2" charset="0"/>
            </a:rPr>
            <a:t>2024</a:t>
          </a:r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 editAs="oneCell">
    <xdr:from>
      <xdr:col>36</xdr:col>
      <xdr:colOff>47625</xdr:colOff>
      <xdr:row>6</xdr:row>
      <xdr:rowOff>26829</xdr:rowOff>
    </xdr:from>
    <xdr:to>
      <xdr:col>36</xdr:col>
      <xdr:colOff>358775</xdr:colOff>
      <xdr:row>6</xdr:row>
      <xdr:rowOff>163354</xdr:rowOff>
    </xdr:to>
    <xdr:sp macro="" textlink="">
      <xdr:nvSpPr>
        <xdr:cNvPr id="14" name="Espaço Reservado para Texto 2">
          <a:extLst>
            <a:ext uri="{FF2B5EF4-FFF2-40B4-BE49-F238E27FC236}">
              <a16:creationId xmlns:a16="http://schemas.microsoft.com/office/drawing/2014/main" id="{E5916FD8-B441-4B0A-8228-70D3648ED86B}"/>
            </a:ext>
          </a:extLst>
        </xdr:cNvPr>
        <xdr:cNvSpPr>
          <a:spLocks noGrp="1"/>
        </xdr:cNvSpPr>
      </xdr:nvSpPr>
      <xdr:spPr bwMode="auto">
        <a:xfrm>
          <a:off x="13557885" y="1124109"/>
          <a:ext cx="311150" cy="136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rgbClr r="0" g="0" b="0"/>
              </a:solidFill>
            </a14:hiddenFill>
          </a:ext>
        </a:extLst>
      </xdr:spPr>
      <xdr:txBody>
        <a:bodyPr vert="horz" wrap="square" lIns="0" tIns="0" rIns="0" bIns="0" numCol="1" spcCol="0" rtlCol="0" anchor="ctr" anchorCtr="0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spcBef>
              <a:spcPct val="0"/>
            </a:spcBef>
            <a:spcAft>
              <a:spcPct val="0"/>
            </a:spcAft>
            <a:buNone/>
          </a:pPr>
          <a:r>
            <a:rPr lang="pt-BR" altLang="en-US" sz="1000">
              <a:latin typeface="Votorantim Sans" panose="02010503030202050203" pitchFamily="2" charset="0"/>
            </a:rPr>
            <a:t>L300</a:t>
          </a:r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 editAs="oneCell">
    <xdr:from>
      <xdr:col>37</xdr:col>
      <xdr:colOff>4762</xdr:colOff>
      <xdr:row>6</xdr:row>
      <xdr:rowOff>26829</xdr:rowOff>
    </xdr:from>
    <xdr:to>
      <xdr:col>37</xdr:col>
      <xdr:colOff>328612</xdr:colOff>
      <xdr:row>6</xdr:row>
      <xdr:rowOff>163354</xdr:rowOff>
    </xdr:to>
    <xdr:sp macro="" textlink="">
      <xdr:nvSpPr>
        <xdr:cNvPr id="15" name="Espaço Reservado para Texto 2">
          <a:extLst>
            <a:ext uri="{FF2B5EF4-FFF2-40B4-BE49-F238E27FC236}">
              <a16:creationId xmlns:a16="http://schemas.microsoft.com/office/drawing/2014/main" id="{36635606-7C40-4D4E-B03F-EFD8C723A9D7}"/>
            </a:ext>
          </a:extLst>
        </xdr:cNvPr>
        <xdr:cNvSpPr>
          <a:spLocks noGrp="1"/>
        </xdr:cNvSpPr>
      </xdr:nvSpPr>
      <xdr:spPr bwMode="auto">
        <a:xfrm>
          <a:off x="14124622" y="1124109"/>
          <a:ext cx="323850" cy="136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rgbClr r="0" g="0" b="0"/>
              </a:solidFill>
            </a14:hiddenFill>
          </a:ext>
        </a:extLst>
      </xdr:spPr>
      <xdr:txBody>
        <a:bodyPr vert="horz" wrap="square" lIns="0" tIns="0" rIns="0" bIns="0" numCol="1" spcCol="0" rtlCol="0" anchor="ctr" anchorCtr="0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spcBef>
              <a:spcPct val="0"/>
            </a:spcBef>
            <a:spcAft>
              <a:spcPct val="0"/>
            </a:spcAft>
            <a:buNone/>
          </a:pPr>
          <a:r>
            <a:rPr lang="pt-BR" altLang="en-US" sz="1000">
              <a:latin typeface="Votorantim Sans" panose="02010503030202050203" pitchFamily="2" charset="0"/>
            </a:rPr>
            <a:t>2025</a:t>
          </a:r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>
    <xdr:from>
      <xdr:col>28</xdr:col>
      <xdr:colOff>144780</xdr:colOff>
      <xdr:row>8</xdr:row>
      <xdr:rowOff>0</xdr:rowOff>
    </xdr:from>
    <xdr:to>
      <xdr:col>37</xdr:col>
      <xdr:colOff>312420</xdr:colOff>
      <xdr:row>25</xdr:row>
      <xdr:rowOff>45720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D829189A-F108-4867-8AD0-D0E54097A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8</xdr:row>
      <xdr:rowOff>152400</xdr:rowOff>
    </xdr:from>
    <xdr:to>
      <xdr:col>22</xdr:col>
      <xdr:colOff>243840</xdr:colOff>
      <xdr:row>25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04BE0D-6A42-4C7E-8412-CCE87F7E1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304800</xdr:colOff>
      <xdr:row>0</xdr:row>
      <xdr:rowOff>144780</xdr:rowOff>
    </xdr:from>
    <xdr:to>
      <xdr:col>31</xdr:col>
      <xdr:colOff>358140</xdr:colOff>
      <xdr:row>3</xdr:row>
      <xdr:rowOff>152400</xdr:rowOff>
    </xdr:to>
    <xdr:sp macro="" textlink="">
      <xdr:nvSpPr>
        <xdr:cNvPr id="3" name="Título 1">
          <a:extLst>
            <a:ext uri="{FF2B5EF4-FFF2-40B4-BE49-F238E27FC236}">
              <a16:creationId xmlns:a16="http://schemas.microsoft.com/office/drawing/2014/main" id="{C56F5F82-C32D-422B-89F9-1B811E26C3B2}"/>
            </a:ext>
          </a:extLst>
        </xdr:cNvPr>
        <xdr:cNvSpPr txBox="1">
          <a:spLocks/>
        </xdr:cNvSpPr>
      </xdr:nvSpPr>
      <xdr:spPr>
        <a:xfrm>
          <a:off x="304800" y="144780"/>
          <a:ext cx="10515600" cy="556260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2400" b="1" kern="1200">
              <a:solidFill>
                <a:srgbClr val="0000BF"/>
              </a:solidFill>
              <a:latin typeface="Votorantim Sans" panose="02010503030202050203" pitchFamily="2" charset="0"/>
              <a:ea typeface="+mj-ea"/>
              <a:cs typeface="Arial" panose="020B0604020202020204" pitchFamily="34" charset="0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eaLnBrk="1" latinLnBrk="0" hangingPunct="1"/>
          <a:r>
            <a:rPr lang="en-US" sz="2400" b="1" kern="1200">
              <a:solidFill>
                <a:srgbClr val="0000BF"/>
              </a:solidFill>
              <a:effectLst/>
              <a:latin typeface="Votorantim Sans" panose="02010503030202050203" pitchFamily="2" charset="0"/>
              <a:ea typeface="+mj-ea"/>
              <a:cs typeface="Arial" panose="020B0604020202020204" pitchFamily="34" charset="0"/>
            </a:rPr>
            <a:t>Lower EBIT than budget due to VCNA, VCBR and FX, partially offset by VCEA</a:t>
          </a:r>
          <a:endParaRPr lang="pt-BR" sz="2000">
            <a:effectLst/>
          </a:endParaRPr>
        </a:p>
        <a:p>
          <a:pPr rtl="0" eaLnBrk="1" latinLnBrk="0" hangingPunct="1"/>
          <a:r>
            <a:rPr lang="en-US" sz="2400" b="1" kern="1200">
              <a:solidFill>
                <a:srgbClr val="0000BF"/>
              </a:solidFill>
              <a:effectLst/>
              <a:latin typeface="Votorantim Sans" panose="02010503030202050203" pitchFamily="2" charset="0"/>
              <a:ea typeface="+mj-ea"/>
              <a:cs typeface="Arial" panose="020B0604020202020204" pitchFamily="34" charset="0"/>
            </a:rPr>
            <a:t>and VCLatam.</a:t>
          </a:r>
          <a:endParaRPr lang="pt-BR" sz="2000">
            <a:effectLst/>
          </a:endParaRPr>
        </a:p>
      </xdr:txBody>
    </xdr:sp>
    <xdr:clientData/>
  </xdr:twoCellAnchor>
  <xdr:oneCellAnchor>
    <xdr:from>
      <xdr:col>34</xdr:col>
      <xdr:colOff>76200</xdr:colOff>
      <xdr:row>0</xdr:row>
      <xdr:rowOff>167640</xdr:rowOff>
    </xdr:from>
    <xdr:ext cx="2425941" cy="550333"/>
    <xdr:pic>
      <xdr:nvPicPr>
        <xdr:cNvPr id="4" name="Gráfico 13">
          <a:extLst>
            <a:ext uri="{FF2B5EF4-FFF2-40B4-BE49-F238E27FC236}">
              <a16:creationId xmlns:a16="http://schemas.microsoft.com/office/drawing/2014/main" id="{96B519CD-F871-4F46-A5EC-922759570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367260" y="167640"/>
          <a:ext cx="2425941" cy="550333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8</xdr:row>
      <xdr:rowOff>60960</xdr:rowOff>
    </xdr:from>
    <xdr:to>
      <xdr:col>22</xdr:col>
      <xdr:colOff>121920</xdr:colOff>
      <xdr:row>8</xdr:row>
      <xdr:rowOff>91440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B1681995-828E-44ED-AFB1-3DE1535C8003}"/>
            </a:ext>
          </a:extLst>
        </xdr:cNvPr>
        <xdr:cNvCxnSpPr/>
      </xdr:nvCxnSpPr>
      <xdr:spPr>
        <a:xfrm flipV="1">
          <a:off x="906780" y="1562100"/>
          <a:ext cx="6065520" cy="304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45720</xdr:colOff>
      <xdr:row>8</xdr:row>
      <xdr:rowOff>53340</xdr:rowOff>
    </xdr:from>
    <xdr:to>
      <xdr:col>37</xdr:col>
      <xdr:colOff>388620</xdr:colOff>
      <xdr:row>8</xdr:row>
      <xdr:rowOff>68580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EAE719B9-2CE5-4F61-AD4B-25DE2012402F}"/>
            </a:ext>
          </a:extLst>
        </xdr:cNvPr>
        <xdr:cNvCxnSpPr/>
      </xdr:nvCxnSpPr>
      <xdr:spPr>
        <a:xfrm flipV="1">
          <a:off x="8679180" y="1554480"/>
          <a:ext cx="5829300" cy="152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34</xdr:col>
      <xdr:colOff>480060</xdr:colOff>
      <xdr:row>6</xdr:row>
      <xdr:rowOff>173196</xdr:rowOff>
    </xdr:from>
    <xdr:to>
      <xdr:col>35</xdr:col>
      <xdr:colOff>49848</xdr:colOff>
      <xdr:row>7</xdr:row>
      <xdr:rowOff>85566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ADCA4A03-6B1E-402B-AA4B-B137AED3F5F0}"/>
            </a:ext>
          </a:extLst>
        </xdr:cNvPr>
        <xdr:cNvSpPr/>
      </xdr:nvSpPr>
      <xdr:spPr bwMode="auto">
        <a:xfrm>
          <a:off x="12771120" y="1270476"/>
          <a:ext cx="179388" cy="133350"/>
        </a:xfrm>
        <a:prstGeom prst="rect">
          <a:avLst/>
        </a:prstGeom>
        <a:solidFill>
          <a:srgbClr val="C0C0C0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35</xdr:col>
      <xdr:colOff>427037</xdr:colOff>
      <xdr:row>6</xdr:row>
      <xdr:rowOff>173196</xdr:rowOff>
    </xdr:from>
    <xdr:to>
      <xdr:col>35</xdr:col>
      <xdr:colOff>606425</xdr:colOff>
      <xdr:row>7</xdr:row>
      <xdr:rowOff>85566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1F155FBC-E281-42DF-B0AE-9E05A3D169C7}"/>
            </a:ext>
          </a:extLst>
        </xdr:cNvPr>
        <xdr:cNvSpPr/>
      </xdr:nvSpPr>
      <xdr:spPr bwMode="auto">
        <a:xfrm>
          <a:off x="13327697" y="1270476"/>
          <a:ext cx="179388" cy="133350"/>
        </a:xfrm>
        <a:prstGeom prst="rect">
          <a:avLst/>
        </a:prstGeom>
        <a:solidFill>
          <a:srgbClr val="6F8DB9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36</xdr:col>
      <xdr:colOff>368935</xdr:colOff>
      <xdr:row>6</xdr:row>
      <xdr:rowOff>173196</xdr:rowOff>
    </xdr:from>
    <xdr:to>
      <xdr:col>36</xdr:col>
      <xdr:colOff>548323</xdr:colOff>
      <xdr:row>7</xdr:row>
      <xdr:rowOff>85566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671B0748-C78F-4122-8BC5-60E528761433}"/>
            </a:ext>
          </a:extLst>
        </xdr:cNvPr>
        <xdr:cNvSpPr/>
      </xdr:nvSpPr>
      <xdr:spPr bwMode="auto">
        <a:xfrm>
          <a:off x="13879195" y="1270476"/>
          <a:ext cx="179388" cy="133350"/>
        </a:xfrm>
        <a:prstGeom prst="rect">
          <a:avLst/>
        </a:prstGeom>
        <a:solidFill>
          <a:srgbClr val="0000BF"/>
        </a:solidFill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35</xdr:col>
      <xdr:colOff>100647</xdr:colOff>
      <xdr:row>6</xdr:row>
      <xdr:rowOff>171609</xdr:rowOff>
    </xdr:from>
    <xdr:to>
      <xdr:col>35</xdr:col>
      <xdr:colOff>424497</xdr:colOff>
      <xdr:row>7</xdr:row>
      <xdr:rowOff>87154</xdr:rowOff>
    </xdr:to>
    <xdr:sp macro="" textlink="">
      <xdr:nvSpPr>
        <xdr:cNvPr id="11" name="Espaço Reservado para Texto 2">
          <a:extLst>
            <a:ext uri="{FF2B5EF4-FFF2-40B4-BE49-F238E27FC236}">
              <a16:creationId xmlns:a16="http://schemas.microsoft.com/office/drawing/2014/main" id="{6ABEA55A-6995-4CBD-8780-9C49C72CCCC4}"/>
            </a:ext>
          </a:extLst>
        </xdr:cNvPr>
        <xdr:cNvSpPr>
          <a:spLocks noGrp="1"/>
        </xdr:cNvSpPr>
      </xdr:nvSpPr>
      <xdr:spPr bwMode="auto">
        <a:xfrm>
          <a:off x="13001307" y="1268889"/>
          <a:ext cx="323850" cy="136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rgbClr r="0" g="0" b="0"/>
              </a:solidFill>
            </a14:hiddenFill>
          </a:ext>
        </a:extLst>
      </xdr:spPr>
      <xdr:txBody>
        <a:bodyPr vert="horz" wrap="square" lIns="0" tIns="0" rIns="0" bIns="0" numCol="1" spcCol="0" rtlCol="0" anchor="ctr" anchorCtr="0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spcBef>
              <a:spcPct val="0"/>
            </a:spcBef>
            <a:spcAft>
              <a:spcPct val="0"/>
            </a:spcAft>
            <a:buNone/>
          </a:pPr>
          <a:r>
            <a:rPr lang="pt-BR" altLang="en-US" sz="1000">
              <a:latin typeface="Votorantim Sans" panose="02010503030202050203" pitchFamily="2" charset="0"/>
            </a:rPr>
            <a:t>2024</a:t>
          </a:r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 editAs="oneCell">
    <xdr:from>
      <xdr:col>36</xdr:col>
      <xdr:colOff>47625</xdr:colOff>
      <xdr:row>6</xdr:row>
      <xdr:rowOff>171609</xdr:rowOff>
    </xdr:from>
    <xdr:to>
      <xdr:col>36</xdr:col>
      <xdr:colOff>358775</xdr:colOff>
      <xdr:row>7</xdr:row>
      <xdr:rowOff>87154</xdr:rowOff>
    </xdr:to>
    <xdr:sp macro="" textlink="">
      <xdr:nvSpPr>
        <xdr:cNvPr id="12" name="Espaço Reservado para Texto 2">
          <a:extLst>
            <a:ext uri="{FF2B5EF4-FFF2-40B4-BE49-F238E27FC236}">
              <a16:creationId xmlns:a16="http://schemas.microsoft.com/office/drawing/2014/main" id="{E0B3F595-E03F-42A3-ACE7-C06814165B98}"/>
            </a:ext>
          </a:extLst>
        </xdr:cNvPr>
        <xdr:cNvSpPr>
          <a:spLocks noGrp="1"/>
        </xdr:cNvSpPr>
      </xdr:nvSpPr>
      <xdr:spPr bwMode="auto">
        <a:xfrm>
          <a:off x="13557885" y="1268889"/>
          <a:ext cx="311150" cy="136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rgbClr r="0" g="0" b="0"/>
              </a:solidFill>
            </a14:hiddenFill>
          </a:ext>
        </a:extLst>
      </xdr:spPr>
      <xdr:txBody>
        <a:bodyPr vert="horz" wrap="square" lIns="0" tIns="0" rIns="0" bIns="0" numCol="1" spcCol="0" rtlCol="0" anchor="ctr" anchorCtr="0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spcBef>
              <a:spcPct val="0"/>
            </a:spcBef>
            <a:spcAft>
              <a:spcPct val="0"/>
            </a:spcAft>
            <a:buNone/>
          </a:pPr>
          <a:r>
            <a:rPr lang="pt-BR" altLang="en-US" sz="1000">
              <a:latin typeface="Votorantim Sans" panose="02010503030202050203" pitchFamily="2" charset="0"/>
            </a:rPr>
            <a:t>L300</a:t>
          </a:r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  <xdr:twoCellAnchor editAs="oneCell">
    <xdr:from>
      <xdr:col>37</xdr:col>
      <xdr:colOff>4762</xdr:colOff>
      <xdr:row>6</xdr:row>
      <xdr:rowOff>171609</xdr:rowOff>
    </xdr:from>
    <xdr:to>
      <xdr:col>37</xdr:col>
      <xdr:colOff>328612</xdr:colOff>
      <xdr:row>7</xdr:row>
      <xdr:rowOff>87154</xdr:rowOff>
    </xdr:to>
    <xdr:sp macro="" textlink="">
      <xdr:nvSpPr>
        <xdr:cNvPr id="13" name="Espaço Reservado para Texto 2">
          <a:extLst>
            <a:ext uri="{FF2B5EF4-FFF2-40B4-BE49-F238E27FC236}">
              <a16:creationId xmlns:a16="http://schemas.microsoft.com/office/drawing/2014/main" id="{505E38BB-3244-4187-A38A-96B05D6E884C}"/>
            </a:ext>
          </a:extLst>
        </xdr:cNvPr>
        <xdr:cNvSpPr>
          <a:spLocks noGrp="1"/>
        </xdr:cNvSpPr>
      </xdr:nvSpPr>
      <xdr:spPr bwMode="auto">
        <a:xfrm>
          <a:off x="14124622" y="1268889"/>
          <a:ext cx="323850" cy="136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rgbClr r="0" g="0" b="0"/>
              </a:solidFill>
            </a14:hiddenFill>
          </a:ext>
        </a:extLst>
      </xdr:spPr>
      <xdr:txBody>
        <a:bodyPr vert="horz" wrap="square" lIns="0" tIns="0" rIns="0" bIns="0" numCol="1" spcCol="0" rtlCol="0" anchor="ctr" anchorCtr="0">
          <a:noAutofit/>
        </a:bodyPr>
        <a:lstStyle>
          <a:defPPr>
            <a:defRPr lang="pt-BR"/>
          </a:defPPr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spcBef>
              <a:spcPct val="0"/>
            </a:spcBef>
            <a:spcAft>
              <a:spcPct val="0"/>
            </a:spcAft>
            <a:buNone/>
          </a:pPr>
          <a:r>
            <a:rPr lang="pt-BR" altLang="en-US" sz="1000">
              <a:latin typeface="Votorantim Sans" panose="02010503030202050203" pitchFamily="2" charset="0"/>
            </a:rPr>
            <a:t>2025</a:t>
          </a:r>
          <a:endParaRPr lang="pt-BR" sz="1000">
            <a:latin typeface="Votorantim Sans" panose="02010503030202050203" pitchFamily="2" charset="0"/>
            <a:sym typeface="Votorantim Sans" panose="02010503030202050203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fs2vmspa\controladoria$\Controle%20de%20Gest&#227;o\Acompanhamento\Banco%20de%20Dados%20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DICATO\home\SPD\Vendas%20Preliminares%202006\DTE\trabalhos\cimento\consumo\CONSUMO%20MENSAL%20DE%20CIMENTO%2080-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ste%20-%20ACUMUL0903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ticonsultores-my.sharepoint.com/personal/eathayde_ctiglobal_com/Documents/Votorantim%20Cimentos/Global%20Results%20Full.xlsx" TargetMode="External"/><Relationship Id="rId1" Type="http://schemas.openxmlformats.org/officeDocument/2006/relationships/externalLinkPath" Target="Votorantim%20Cimentos/Global%20Results%20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Cálculo"/>
      <sheetName val="Indicadores Econômicos"/>
      <sheetName val="Produções"/>
      <sheetName val="Rendimentos"/>
      <sheetName val="Consumos Específicos"/>
      <sheetName val="Energia Elétrica"/>
      <sheetName val="Preços Insumos"/>
      <sheetName val="Vendas"/>
      <sheetName val="Vendas US$"/>
      <sheetName val="Custos &amp; Despesas"/>
      <sheetName val="Custos &amp; Despesas US$"/>
      <sheetName val="Economicos"/>
      <sheetName val="Financeiros"/>
      <sheetName val="DRE"/>
      <sheetName val="DIF FAT FEV 01"/>
      <sheetName val="DRE- 2000"/>
      <sheetName val="Banco de Dados 2001"/>
      <sheetName val="CRITERIA1"/>
      <sheetName val="VEHICULOS"/>
      <sheetName val="EEFF"/>
      <sheetName val="Ind.TC"/>
      <sheetName val="Três Marias (TM)"/>
      <sheetName val="CMM"/>
      <sheetName val="Morro Agudo (MA)"/>
      <sheetName val="Plan69"/>
      <sheetName val="Properties"/>
      <sheetName val="Step_0_Team_CALENDAR"/>
      <sheetName val="Step2_Correlation"/>
      <sheetName val="Step2_Histogram"/>
      <sheetName val="Lists"/>
      <sheetName val="Treinamento mensal"/>
      <sheetName val="Treinamento e Desen. trimestral"/>
      <sheetName val="Captação"/>
      <sheetName val="Sheet1"/>
      <sheetName val="BALANCE SHEET"/>
      <sheetName val="Profit Centers"/>
      <sheetName val="Vínculos Simulador - coluna"/>
      <sheetName val="tutorial_Riscos"/>
      <sheetName val="BROWZ Status Info"/>
      <sheetName val="Indicadores_Econômicos"/>
      <sheetName val="Consumos_Específicos"/>
      <sheetName val="Energia_Elétrica"/>
      <sheetName val="Preços_Insumos"/>
      <sheetName val="Vendas_US$"/>
      <sheetName val="Custos_&amp;_Despesas"/>
      <sheetName val="Custos_&amp;_Despesas_US$"/>
      <sheetName val="DIF_FAT_FEV_01"/>
      <sheetName val="DRE-_2000"/>
      <sheetName val="Banco_de_Dados_2001"/>
      <sheetName val="Ind_TC"/>
      <sheetName val="Três_Marias_(TM)"/>
      <sheetName val="Morro_Agudo_(MA)"/>
      <sheetName val="Treinamento_mensal"/>
      <sheetName val="Treinamento_e_Desen__trimestral"/>
      <sheetName val="BALANCE_SHEET"/>
      <sheetName val="Vínculos_Simulador_-_coluna"/>
      <sheetName val="Hoja2"/>
      <sheetName val="Costo-Venta"/>
      <sheetName val="Venta Auto"/>
      <sheetName val="PEND. 31-12-2003"/>
      <sheetName val="Listas"/>
      <sheetName val="Base"/>
      <sheetName val="EDC"/>
      <sheetName val="BASE DE DADOS"/>
      <sheetName val="BASE_DE_DADOS"/>
      <sheetName val="Apoio"/>
      <sheetName val="PREMISSAS 2"/>
      <sheetName val="DADOS"/>
      <sheetName val="Contracts"/>
      <sheetName val="Support"/>
      <sheetName val="Aux"/>
      <sheetName val="Input - Racional de Ganho"/>
      <sheetName val="cuadro"/>
      <sheetName val="Hoja1"/>
      <sheetName val="DGEN"/>
      <sheetName val="Tablas"/>
      <sheetName val="ACUMULADO"/>
      <sheetName val="MOPE"/>
      <sheetName val="Banco Dados(Real) Consolidado"/>
      <sheetName val="Art96.IV.RIPI"/>
      <sheetName val="Lista"/>
      <sheetName val=""/>
      <sheetName val="Contadores"/>
      <sheetName val="Receitas 2016"/>
      <sheetName val="Receitas 2017 "/>
      <sheetName val="Entradas"/>
      <sheetName val="Receitas 2018"/>
      <sheetName val="Estornos"/>
      <sheetName val="Planilha1"/>
      <sheetName val="Planilha5"/>
      <sheetName val="Planilha3"/>
      <sheetName val="Plan1"/>
      <sheetName val="Planilha6"/>
      <sheetName val="Din.Receitas"/>
      <sheetName val="Planilha2"/>
      <sheetName val="Receitas 2019"/>
      <sheetName val="Contratos de Gestão "/>
      <sheetName val="Contratos de Patrocínios "/>
      <sheetName val="Receitas"/>
      <sheetName val="Investimentos "/>
      <sheetName val="FC"/>
      <sheetName val="Cenários"/>
      <sheetName val="2708"/>
      <sheetName val="DFC_Marcia"/>
      <sheetName val="DFC_RESERVA"/>
      <sheetName val="CONSOLIDADO (2)"/>
      <sheetName val="Projeção próximos anos "/>
      <sheetName val="4RV001"/>
      <sheetName val="5RV001"/>
      <sheetName val="4VD186"/>
      <sheetName val="Codigos"/>
      <sheetName val="Bridge Cement-Month L300"/>
      <sheetName val="Bridge Cement-YTD L300"/>
      <sheetName val="Bridge Cement-Act vs Flash"/>
      <sheetName val="MASTER"/>
      <sheetName val="MODELO"/>
      <sheetName val="Plan2"/>
      <sheetName val="Cash basis Ago-02"/>
      <sheetName val="Pasta7"/>
      <sheetName val="Database"/>
      <sheetName val="CO"/>
      <sheetName val="Dimensionamento"/>
      <sheetName val="List"/>
      <sheetName val="Distribuição"/>
      <sheetName val="Comparativo"/>
      <sheetName val="Comparativo_W"/>
      <sheetName val="Atualização"/>
      <sheetName val="Grafico"/>
      <sheetName val="Indicadores"/>
      <sheetName val="Base Triagem"/>
      <sheetName val="GATE_FCOJ"/>
      <sheetName val="Resumo"/>
      <sheetName val="Vinculo volumes efetivos (in)"/>
      <sheetName val="Work"/>
      <sheetName val="GORD"/>
      <sheetName val="DRPL_NFC"/>
      <sheetName val="Link_Orig"/>
      <sheetName val="Transf_NFC_F"/>
      <sheetName val="Tabela"/>
      <sheetName val="Semana"/>
      <sheetName val="BLP"/>
      <sheetName val="4"/>
      <sheetName val="Fallas"/>
      <sheetName val="5.0. Hold. A"/>
      <sheetName val="2. Macro"/>
      <sheetName val="Max_D._2002"/>
      <sheetName val="P2000"/>
      <sheetName val="Indicadores_Econômicos1"/>
      <sheetName val="Consumos_Específicos1"/>
      <sheetName val="Energia_Elétrica1"/>
      <sheetName val="Preços_Insumos1"/>
      <sheetName val="Vendas_US$1"/>
      <sheetName val="Custos_&amp;_Despesas1"/>
      <sheetName val="Custos_&amp;_Despesas_US$1"/>
      <sheetName val="DIF_FAT_FEV_011"/>
      <sheetName val="DRE-_20001"/>
      <sheetName val="Banco_de_Dados_20011"/>
      <sheetName val="Ind_TC1"/>
      <sheetName val="Três_Marias_(TM)1"/>
      <sheetName val="Morro_Agudo_(MA)1"/>
      <sheetName val="Treinamento_mensal1"/>
      <sheetName val="Treinamento_e_Desen__trimestra1"/>
      <sheetName val="BALANCE_SHEET1"/>
      <sheetName val="Profit_Centers"/>
      <sheetName val="Vínculos_Simulador_-_coluna1"/>
      <sheetName val="BROWZ_Status_Info"/>
      <sheetName val="Venta_Auto"/>
      <sheetName val="PEND__31-12-2003"/>
      <sheetName val="BASE_DE_DADOS1"/>
      <sheetName val="PREMISSAS_2"/>
      <sheetName val="Input_-_Racional_de_Ganho"/>
      <sheetName val="Banco_Dados(Real)_Consolidado"/>
      <sheetName val="Art96_IV_RIPI"/>
      <sheetName val="Indicadores_Econômicos2"/>
      <sheetName val="Consumos_Específicos2"/>
      <sheetName val="Energia_Elétrica2"/>
      <sheetName val="Preços_Insumos2"/>
      <sheetName val="Vendas_US$2"/>
      <sheetName val="Custos_&amp;_Despesas2"/>
      <sheetName val="Custos_&amp;_Despesas_US$2"/>
      <sheetName val="DIF_FAT_FEV_012"/>
      <sheetName val="DRE-_20002"/>
      <sheetName val="Banco_de_Dados_20012"/>
      <sheetName val="Ind_TC2"/>
      <sheetName val="Três_Marias_(TM)2"/>
      <sheetName val="Morro_Agudo_(MA)2"/>
      <sheetName val="Treinamento_mensal2"/>
      <sheetName val="Treinamento_e_Desen__trimestra2"/>
      <sheetName val="BALANCE_SHEET2"/>
      <sheetName val="Vínculos_Simulador_-_coluna2"/>
      <sheetName val="Profit_Centers1"/>
      <sheetName val="BROWZ_Status_Info1"/>
      <sheetName val="Venta_Auto1"/>
      <sheetName val="PEND__31-12-20031"/>
      <sheetName val="BASE_DE_DADOS2"/>
      <sheetName val="Receitas_2016"/>
      <sheetName val="Receitas_2017_"/>
      <sheetName val="Receitas_2018"/>
      <sheetName val="Din_Receitas"/>
      <sheetName val="Receitas_2019"/>
      <sheetName val="Contratos_de_Gestão_"/>
      <sheetName val="Contratos_de_Patrocínios_"/>
      <sheetName val="Investimentos_"/>
      <sheetName val="CONSOLIDADO_(2)"/>
      <sheetName val="Projeção_próximos_anos_"/>
      <sheetName val="Bridge_Cement-Month_L300"/>
      <sheetName val="Bridge_Cement-YTD_L300"/>
      <sheetName val="Bridge_Cement-Act_vs_Flash"/>
      <sheetName val="Indicadores_Econômicos3"/>
      <sheetName val="Consumos_Específicos3"/>
      <sheetName val="Energia_Elétrica3"/>
      <sheetName val="Preços_Insumos3"/>
      <sheetName val="Vendas_US$3"/>
      <sheetName val="Custos_&amp;_Despesas3"/>
      <sheetName val="Custos_&amp;_Despesas_US$3"/>
      <sheetName val="DIF_FAT_FEV_013"/>
      <sheetName val="DRE-_20003"/>
      <sheetName val="Banco_de_Dados_20013"/>
      <sheetName val="Ind_TC3"/>
      <sheetName val="Três_Marias_(TM)3"/>
      <sheetName val="Morro_Agudo_(MA)3"/>
      <sheetName val="Treinamento_mensal3"/>
      <sheetName val="Treinamento_e_Desen__trimestra3"/>
      <sheetName val="BALANCE_SHEET3"/>
      <sheetName val="Vínculos_Simulador_-_coluna3"/>
      <sheetName val="Profit_Centers2"/>
      <sheetName val="BROWZ_Status_Info2"/>
      <sheetName val="Venta_Auto2"/>
      <sheetName val="PEND__31-12-20032"/>
      <sheetName val="BASE_DE_DADOS3"/>
      <sheetName val="PREMISSAS_21"/>
      <sheetName val="Input_-_Racional_de_Ganho1"/>
      <sheetName val="Banco_Dados(Real)_Consolidado1"/>
      <sheetName val="Art96_IV_RIPI1"/>
      <sheetName val="Receitas_20161"/>
      <sheetName val="Receitas_2017_1"/>
      <sheetName val="Receitas_20181"/>
      <sheetName val="Din_Receitas1"/>
      <sheetName val="Receitas_20191"/>
      <sheetName val="Contratos_de_Gestão_1"/>
      <sheetName val="Contratos_de_Patrocínios_1"/>
      <sheetName val="Investimentos_1"/>
      <sheetName val="CONSOLIDADO_(2)1"/>
      <sheetName val="Projeção_próximos_anos_1"/>
      <sheetName val="Bridge_Cement-Month_L3001"/>
      <sheetName val="Bridge_Cement-YTD_L3001"/>
      <sheetName val="Bridge_Cement-Act_vs_Flash1"/>
      <sheetName val="Cash_basis_Ago-02"/>
      <sheetName val="Base_Triagem"/>
      <sheetName val="Vinculo_volumes_efetivos_(in)"/>
      <sheetName val="5_0__Hold__A"/>
      <sheetName val="2__Macro"/>
      <sheetName val="Max_D__2002"/>
      <sheetName val="Indicadores_Econômicos4"/>
      <sheetName val="Consumos_Específicos4"/>
      <sheetName val="Energia_Elétrica4"/>
      <sheetName val="Preços_Insumos4"/>
      <sheetName val="Vendas_US$4"/>
      <sheetName val="Custos_&amp;_Despesas4"/>
      <sheetName val="Custos_&amp;_Despesas_US$4"/>
      <sheetName val="DIF_FAT_FEV_014"/>
      <sheetName val="DRE-_20004"/>
      <sheetName val="Banco_de_Dados_20014"/>
      <sheetName val="Ind_TC4"/>
      <sheetName val="Três_Marias_(TM)4"/>
      <sheetName val="Morro_Agudo_(MA)4"/>
      <sheetName val="Treinamento_mensal4"/>
      <sheetName val="Treinamento_e_Desen__trimestra4"/>
      <sheetName val="BALANCE_SHEET4"/>
      <sheetName val="Vínculos_Simulador_-_coluna4"/>
      <sheetName val="Profit_Centers3"/>
      <sheetName val="BROWZ_Status_Info3"/>
      <sheetName val="Venta_Auto3"/>
      <sheetName val="PEND__31-12-20033"/>
      <sheetName val="BASE_DE_DADOS4"/>
      <sheetName val="PREMISSAS_22"/>
      <sheetName val="Input_-_Racional_de_Ganho2"/>
      <sheetName val="Banco_Dados(Real)_Consolidado2"/>
      <sheetName val="Art96_IV_RIPI2"/>
      <sheetName val="Receitas_20162"/>
      <sheetName val="Receitas_2017_2"/>
      <sheetName val="Receitas_20182"/>
      <sheetName val="Din_Receitas2"/>
      <sheetName val="Receitas_20192"/>
      <sheetName val="Contratos_de_Gestão_2"/>
      <sheetName val="Contratos_de_Patrocínios_2"/>
      <sheetName val="Investimentos_2"/>
      <sheetName val="CONSOLIDADO_(2)2"/>
      <sheetName val="Projeção_próximos_anos_2"/>
      <sheetName val="Bridge_Cement-Month_L3002"/>
      <sheetName val="Bridge_Cement-YTD_L3002"/>
      <sheetName val="Bridge_Cement-Act_vs_Flash2"/>
      <sheetName val="Data"/>
      <sheetName val="Datos"/>
      <sheetName val="SCHEDULE"/>
      <sheetName val="Banco de dados"/>
      <sheetName val="Alíquotas"/>
      <sheetName val="Macroecono antiga"/>
      <sheetName val="Gás Fenosa - GATR"/>
      <sheetName val="CC (2)"/>
      <sheetName val="CC"/>
      <sheetName val="72"/>
      <sheetName val="73"/>
      <sheetName val="Capex 1920 Postergado"/>
      <sheetName val="Capex 2021"/>
      <sheetName val="Base_Preço"/>
      <sheetName val="Slurry"/>
      <sheetName val="ANIM"/>
      <sheetName val="12_03"/>
      <sheetName val="Get_0704"/>
      <sheetName val="06_03"/>
      <sheetName val="Indicadores_Econômicos7"/>
      <sheetName val="Consumos_Específicos7"/>
      <sheetName val="Energia_Elétrica7"/>
      <sheetName val="Preços_Insumos7"/>
      <sheetName val="Vendas_US$7"/>
      <sheetName val="Custos_&amp;_Despesas7"/>
      <sheetName val="Custos_&amp;_Despesas_US$7"/>
      <sheetName val="DIF_FAT_FEV_017"/>
      <sheetName val="DRE-_20007"/>
      <sheetName val="Banco_de_Dados_20017"/>
      <sheetName val="Ind_TC7"/>
      <sheetName val="Três_Marias_(TM)7"/>
      <sheetName val="Morro_Agudo_(MA)7"/>
      <sheetName val="Treinamento_mensal7"/>
      <sheetName val="Treinamento_e_Desen__trimestra7"/>
      <sheetName val="BALANCE_SHEET7"/>
      <sheetName val="Vínculos_Simulador_-_coluna7"/>
      <sheetName val="Profit_Centers6"/>
      <sheetName val="BROWZ_Status_Info6"/>
      <sheetName val="Venta_Auto6"/>
      <sheetName val="PEND__31-12-20036"/>
      <sheetName val="BASE_DE_DADOS7"/>
      <sheetName val="PREMISSAS_25"/>
      <sheetName val="Input_-_Racional_de_Ganho5"/>
      <sheetName val="Banco_Dados(Real)_Consolidado5"/>
      <sheetName val="Art96_IV_RIPI5"/>
      <sheetName val="Receitas_20164"/>
      <sheetName val="Receitas_2017_4"/>
      <sheetName val="Receitas_20184"/>
      <sheetName val="Din_Receitas4"/>
      <sheetName val="Receitas_20194"/>
      <sheetName val="Contratos_de_Gestão_4"/>
      <sheetName val="Contratos_de_Patrocínios_4"/>
      <sheetName val="Investimentos_4"/>
      <sheetName val="CONSOLIDADO_(2)4"/>
      <sheetName val="Projeção_próximos_anos_4"/>
      <sheetName val="Bridge_Cement-Month_L3004"/>
      <sheetName val="Bridge_Cement-YTD_L3004"/>
      <sheetName val="Bridge_Cement-Act_vs_Flash4"/>
      <sheetName val="Indicadores_Econômicos5"/>
      <sheetName val="Consumos_Específicos5"/>
      <sheetName val="Energia_Elétrica5"/>
      <sheetName val="Preços_Insumos5"/>
      <sheetName val="Vendas_US$5"/>
      <sheetName val="Custos_&amp;_Despesas5"/>
      <sheetName val="Custos_&amp;_Despesas_US$5"/>
      <sheetName val="DIF_FAT_FEV_015"/>
      <sheetName val="DRE-_20005"/>
      <sheetName val="Banco_de_Dados_20015"/>
      <sheetName val="Ind_TC5"/>
      <sheetName val="Três_Marias_(TM)5"/>
      <sheetName val="Morro_Agudo_(MA)5"/>
      <sheetName val="Treinamento_mensal5"/>
      <sheetName val="Treinamento_e_Desen__trimestra5"/>
      <sheetName val="BALANCE_SHEET5"/>
      <sheetName val="Vínculos_Simulador_-_coluna5"/>
      <sheetName val="Profit_Centers4"/>
      <sheetName val="BROWZ_Status_Info4"/>
      <sheetName val="Venta_Auto4"/>
      <sheetName val="PEND__31-12-20034"/>
      <sheetName val="BASE_DE_DADOS5"/>
      <sheetName val="PREMISSAS_23"/>
      <sheetName val="Input_-_Racional_de_Ganho3"/>
      <sheetName val="Banco_Dados(Real)_Consolidado3"/>
      <sheetName val="Art96_IV_RIPI3"/>
      <sheetName val="Indicadores_Econômicos6"/>
      <sheetName val="Consumos_Específicos6"/>
      <sheetName val="Energia_Elétrica6"/>
      <sheetName val="Preços_Insumos6"/>
      <sheetName val="Vendas_US$6"/>
      <sheetName val="Custos_&amp;_Despesas6"/>
      <sheetName val="Custos_&amp;_Despesas_US$6"/>
      <sheetName val="DIF_FAT_FEV_016"/>
      <sheetName val="DRE-_20006"/>
      <sheetName val="Banco_de_Dados_20016"/>
      <sheetName val="Ind_TC6"/>
      <sheetName val="Três_Marias_(TM)6"/>
      <sheetName val="Morro_Agudo_(MA)6"/>
      <sheetName val="Treinamento_mensal6"/>
      <sheetName val="Treinamento_e_Desen__trimestra6"/>
      <sheetName val="BALANCE_SHEET6"/>
      <sheetName val="Vínculos_Simulador_-_coluna6"/>
      <sheetName val="Profit_Centers5"/>
      <sheetName val="BROWZ_Status_Info5"/>
      <sheetName val="Venta_Auto5"/>
      <sheetName val="PEND__31-12-20035"/>
      <sheetName val="BASE_DE_DADOS6"/>
      <sheetName val="PREMISSAS_24"/>
      <sheetName val="Input_-_Racional_de_Ganho4"/>
      <sheetName val="Banco_Dados(Real)_Consolidado4"/>
      <sheetName val="Art96_IV_RIPI4"/>
      <sheetName val="Receitas_20163"/>
      <sheetName val="Receitas_2017_3"/>
      <sheetName val="Receitas_20183"/>
      <sheetName val="Din_Receitas3"/>
      <sheetName val="Receitas_20193"/>
      <sheetName val="Contratos_de_Gestão_3"/>
      <sheetName val="Contratos_de_Patrocínios_3"/>
      <sheetName val="Investimentos_3"/>
      <sheetName val="CONSOLIDADO_(2)3"/>
      <sheetName val="Projeção_próximos_anos_3"/>
      <sheetName val="Bridge_Cement-Month_L3003"/>
      <sheetName val="Bridge_Cement-YTD_L3003"/>
      <sheetName val="Bridge_Cement-Act_vs_Flash3"/>
      <sheetName val="Cash_basis_Ago-021"/>
      <sheetName val="Base_Triagem1"/>
      <sheetName val="Vinculo_volumes_efetivos_(in)1"/>
      <sheetName val="5_0__Hold__A1"/>
      <sheetName val="2__Macro1"/>
      <sheetName val="Max_D__20021"/>
      <sheetName val="ASSUMPTION"/>
      <sheetName val=" EEPN"/>
      <sheetName val="Indicadores_Econômicos8"/>
      <sheetName val="Consumos_Específicos8"/>
      <sheetName val="Energia_Elétrica8"/>
      <sheetName val="Preços_Insumos8"/>
      <sheetName val="Vendas_US$8"/>
      <sheetName val="Custos_&amp;_Despesas8"/>
      <sheetName val="Custos_&amp;_Despesas_US$8"/>
      <sheetName val="DIF_FAT_FEV_018"/>
      <sheetName val="DRE-_20008"/>
      <sheetName val="Banco_de_Dados_20018"/>
      <sheetName val="Ind_TC8"/>
      <sheetName val="Três_Marias_(TM)8"/>
      <sheetName val="Morro_Agudo_(MA)8"/>
      <sheetName val="Treinamento_mensal8"/>
      <sheetName val="Treinamento_e_Desen__trimestra8"/>
      <sheetName val="BALANCE_SHEET8"/>
      <sheetName val="Vínculos_Simulador_-_coluna8"/>
      <sheetName val="Profit_Centers7"/>
      <sheetName val="BROWZ_Status_Info7"/>
      <sheetName val="Venta_Auto7"/>
      <sheetName val="PEND__31-12-20037"/>
      <sheetName val="BASE_DE_DADOS8"/>
      <sheetName val="PREMISSAS_26"/>
      <sheetName val="Input_-_Racional_de_Ganho6"/>
      <sheetName val="Banco_Dados(Real)_Consolidado6"/>
      <sheetName val="Art96_IV_RIPI6"/>
      <sheetName val="Receitas_20165"/>
      <sheetName val="Receitas_2017_5"/>
      <sheetName val="Receitas_20185"/>
      <sheetName val="Din_Receitas5"/>
      <sheetName val="Receitas_20195"/>
      <sheetName val="Contratos_de_Gestão_5"/>
      <sheetName val="Contratos_de_Patrocínios_5"/>
      <sheetName val="Investimentos_5"/>
      <sheetName val="CONSOLIDADO_(2)5"/>
      <sheetName val="Projeção_próximos_anos_5"/>
      <sheetName val="Bridge_Cement-Month_L3005"/>
      <sheetName val="Bridge_Cement-YTD_L3005"/>
      <sheetName val="Bridge_Cement-Act_vs_Flash5"/>
      <sheetName val="Cash_basis_Ago-022"/>
      <sheetName val="Base_Triagem2"/>
      <sheetName val="Vinculo_volumes_efetivos_(in)2"/>
      <sheetName val="5_0__Hold__A2"/>
      <sheetName val="2__Macro2"/>
      <sheetName val="Max_D__20022"/>
      <sheetName val="Indicadores_Econômicos9"/>
      <sheetName val="Consumos_Específicos9"/>
      <sheetName val="Energia_Elétrica9"/>
      <sheetName val="Preços_Insumos9"/>
      <sheetName val="Vendas_US$9"/>
      <sheetName val="Custos_&amp;_Despesas9"/>
      <sheetName val="Custos_&amp;_Despesas_US$9"/>
      <sheetName val="DIF_FAT_FEV_019"/>
      <sheetName val="DRE-_20009"/>
      <sheetName val="Banco_de_Dados_20019"/>
      <sheetName val="Ind_TC9"/>
      <sheetName val="Três_Marias_(TM)9"/>
      <sheetName val="Morro_Agudo_(MA)9"/>
      <sheetName val="Treinamento_mensal9"/>
      <sheetName val="Treinamento_e_Desen__trimestra9"/>
      <sheetName val="BALANCE_SHEET9"/>
      <sheetName val="Vínculos_Simulador_-_coluna9"/>
      <sheetName val="Profit_Centers8"/>
      <sheetName val="BROWZ_Status_Info8"/>
      <sheetName val="Venta_Auto8"/>
      <sheetName val="PEND__31-12-20038"/>
      <sheetName val="BASE_DE_DADOS9"/>
      <sheetName val="PREMISSAS_27"/>
      <sheetName val="Input_-_Racional_de_Ganho7"/>
      <sheetName val="Banco_Dados(Real)_Consolidado7"/>
      <sheetName val="Art96_IV_RIPI7"/>
      <sheetName val="Receitas_20166"/>
      <sheetName val="Receitas_2017_6"/>
      <sheetName val="Receitas_20186"/>
      <sheetName val="Din_Receitas6"/>
      <sheetName val="Receitas_20196"/>
      <sheetName val="Contratos_de_Gestão_6"/>
      <sheetName val="Contratos_de_Patrocínios_6"/>
      <sheetName val="Investimentos_6"/>
      <sheetName val="CONSOLIDADO_(2)6"/>
      <sheetName val="Projeção_próximos_anos_6"/>
      <sheetName val="Bridge_Cement-Month_L3006"/>
      <sheetName val="Bridge_Cement-YTD_L3006"/>
      <sheetName val="Bridge_Cement-Act_vs_Flash6"/>
      <sheetName val="Cash_basis_Ago-023"/>
      <sheetName val="Base_Triagem3"/>
      <sheetName val="Vinculo_volumes_efetivos_(in)3"/>
      <sheetName val="5_0__Hold__A3"/>
      <sheetName val="2__Macro3"/>
      <sheetName val="Max_D__20023"/>
      <sheetName val="Indicadores_Econômicos10"/>
      <sheetName val="Consumos_Específicos10"/>
      <sheetName val="Energia_Elétrica10"/>
      <sheetName val="Preços_Insumos10"/>
      <sheetName val="Vendas_US$10"/>
      <sheetName val="Custos_&amp;_Despesas10"/>
      <sheetName val="Custos_&amp;_Despesas_US$10"/>
      <sheetName val="DIF_FAT_FEV_0110"/>
      <sheetName val="DRE-_200010"/>
      <sheetName val="Banco_de_Dados_200110"/>
      <sheetName val="Ind_TC10"/>
      <sheetName val="Três_Marias_(TM)10"/>
      <sheetName val="Morro_Agudo_(MA)10"/>
      <sheetName val="Treinamento_mensal10"/>
      <sheetName val="Treinamento_e_Desen__trimestr10"/>
      <sheetName val="BALANCE_SHEET10"/>
      <sheetName val="Vínculos_Simulador_-_coluna10"/>
      <sheetName val="Profit_Centers9"/>
      <sheetName val="BROWZ_Status_Info9"/>
      <sheetName val="Venta_Auto9"/>
      <sheetName val="PEND__31-12-20039"/>
      <sheetName val="BASE_DE_DADOS10"/>
      <sheetName val="PREMISSAS_28"/>
      <sheetName val="Input_-_Racional_de_Ganho8"/>
      <sheetName val="Banco_Dados(Real)_Consolidado8"/>
      <sheetName val="Art96_IV_RIPI8"/>
      <sheetName val="Receitas_20167"/>
      <sheetName val="Receitas_2017_7"/>
      <sheetName val="Receitas_20187"/>
      <sheetName val="Din_Receitas7"/>
      <sheetName val="Receitas_20197"/>
      <sheetName val="Contratos_de_Gestão_7"/>
      <sheetName val="Contratos_de_Patrocínios_7"/>
      <sheetName val="Investimentos_7"/>
      <sheetName val="CONSOLIDADO_(2)7"/>
      <sheetName val="Projeção_próximos_anos_7"/>
      <sheetName val="Bridge_Cement-Month_L3007"/>
      <sheetName val="Bridge_Cement-YTD_L3007"/>
      <sheetName val="Bridge_Cement-Act_vs_Flash7"/>
      <sheetName val="Cash_basis_Ago-024"/>
      <sheetName val="Base_Triagem4"/>
      <sheetName val="Vinculo_volumes_efetivos_(in)4"/>
      <sheetName val="5_0__Hold__A4"/>
      <sheetName val="2__Macro4"/>
      <sheetName val="Max_D__20024"/>
      <sheetName val="Indicadores_Econômicos11"/>
      <sheetName val="Consumos_Específicos11"/>
      <sheetName val="Energia_Elétrica11"/>
      <sheetName val="Preços_Insumos11"/>
      <sheetName val="Vendas_US$11"/>
      <sheetName val="Custos_&amp;_Despesas11"/>
      <sheetName val="Custos_&amp;_Despesas_US$11"/>
      <sheetName val="DIF_FAT_FEV_0111"/>
      <sheetName val="DRE-_200011"/>
      <sheetName val="Banco_de_Dados_200111"/>
      <sheetName val="Ind_TC11"/>
      <sheetName val="Três_Marias_(TM)11"/>
      <sheetName val="Morro_Agudo_(MA)11"/>
      <sheetName val="Treinamento_mensal11"/>
      <sheetName val="Treinamento_e_Desen__trimestr11"/>
      <sheetName val="BALANCE_SHEET11"/>
      <sheetName val="Vínculos_Simulador_-_coluna11"/>
      <sheetName val="Profit_Centers10"/>
      <sheetName val="BROWZ_Status_Info10"/>
      <sheetName val="Venta_Auto10"/>
      <sheetName val="PEND__31-12-200310"/>
      <sheetName val="BASE_DE_DADOS11"/>
      <sheetName val="PREMISSAS_29"/>
      <sheetName val="Input_-_Racional_de_Ganho9"/>
      <sheetName val="Banco_Dados(Real)_Consolidado9"/>
      <sheetName val="Art96_IV_RIPI9"/>
      <sheetName val="Receitas_20168"/>
      <sheetName val="Receitas_2017_8"/>
      <sheetName val="Receitas_20188"/>
      <sheetName val="Din_Receitas8"/>
      <sheetName val="Receitas_20198"/>
      <sheetName val="Contratos_de_Gestão_8"/>
      <sheetName val="Contratos_de_Patrocínios_8"/>
      <sheetName val="Investimentos_8"/>
      <sheetName val="CONSOLIDADO_(2)8"/>
      <sheetName val="Projeção_próximos_anos_8"/>
      <sheetName val="Bridge_Cement-Month_L3008"/>
      <sheetName val="Bridge_Cement-YTD_L3008"/>
      <sheetName val="Bridge_Cement-Act_vs_Flash8"/>
      <sheetName val="Cash_basis_Ago-025"/>
      <sheetName val="Base_Triagem5"/>
      <sheetName val="Vinculo_volumes_efetivos_(in)5"/>
      <sheetName val="5_0__Hold__A5"/>
      <sheetName val="2__Macro5"/>
      <sheetName val="Max_D__20025"/>
      <sheetName val="Indicadores_Econômicos12"/>
      <sheetName val="Consumos_Específicos12"/>
      <sheetName val="Energia_Elétrica12"/>
      <sheetName val="Preços_Insumos12"/>
      <sheetName val="Vendas_US$12"/>
      <sheetName val="Custos_&amp;_Despesas12"/>
      <sheetName val="Custos_&amp;_Despesas_US$12"/>
      <sheetName val="DIF_FAT_FEV_0112"/>
      <sheetName val="DRE-_200012"/>
      <sheetName val="Banco_de_Dados_200112"/>
      <sheetName val="Ind_TC12"/>
      <sheetName val="Três_Marias_(TM)12"/>
      <sheetName val="Morro_Agudo_(MA)12"/>
      <sheetName val="Treinamento_mensal12"/>
      <sheetName val="Treinamento_e_Desen__trimestr12"/>
      <sheetName val="BALANCE_SHEET12"/>
      <sheetName val="Vínculos_Simulador_-_coluna12"/>
      <sheetName val="Profit_Centers11"/>
      <sheetName val="BROWZ_Status_Info11"/>
      <sheetName val="Venta_Auto11"/>
      <sheetName val="PEND__31-12-200311"/>
      <sheetName val="BASE_DE_DADOS12"/>
      <sheetName val="PREMISSAS_210"/>
      <sheetName val="Input_-_Racional_de_Ganho10"/>
      <sheetName val="Banco_Dados(Real)_Consolidado10"/>
      <sheetName val="Art96_IV_RIPI10"/>
      <sheetName val="Receitas_20169"/>
      <sheetName val="Receitas_2017_9"/>
      <sheetName val="Receitas_20189"/>
      <sheetName val="Din_Receitas9"/>
      <sheetName val="Receitas_20199"/>
      <sheetName val="Contratos_de_Gestão_9"/>
      <sheetName val="Contratos_de_Patrocínios_9"/>
      <sheetName val="Investimentos_9"/>
      <sheetName val="CONSOLIDADO_(2)9"/>
      <sheetName val="Projeção_próximos_anos_9"/>
      <sheetName val="Bridge_Cement-Month_L3009"/>
      <sheetName val="Bridge_Cement-YTD_L3009"/>
      <sheetName val="Bridge_Cement-Act_vs_Flash9"/>
      <sheetName val="Cash_basis_Ago-026"/>
      <sheetName val="Base_Triagem6"/>
      <sheetName val="Vinculo_volumes_efetivos_(in)6"/>
      <sheetName val="5_0__Hold__A6"/>
      <sheetName val="2__Macro6"/>
      <sheetName val="Max_D__20026"/>
      <sheetName val="Banco_de_dados"/>
      <sheetName val="Macroecono_antiga"/>
      <sheetName val="Gás_Fenosa_-_GATR"/>
      <sheetName val="CC_(2)"/>
      <sheetName val="Capex_1920_Postergado"/>
      <sheetName val="Capex_2021"/>
      <sheetName val="_EEPN"/>
      <sheetName val="N"/>
      <sheetName val="BC"/>
      <sheetName val="AJBA2003"/>
      <sheetName val="Dados gerais"/>
      <sheetName val="INGRESO DATOS"/>
      <sheetName val="Table"/>
      <sheetName val="TABLA DE VALORES"/>
      <sheetName val="TPNuevo"/>
      <sheetName val="Capacity"/>
      <sheetName val="A"/>
      <sheetName val="0"/>
      <sheetName val="PH"/>
      <sheetName val="PRAcu"/>
      <sheetName val="RH"/>
      <sheetName val="RRAcu"/>
      <sheetName val="Controls"/>
      <sheetName val="Banco_de_dados1"/>
      <sheetName val="CD SEC LOC #7"/>
      <sheetName val="Prueba global - Pasivo"/>
      <sheetName val="CONS-LS"/>
      <sheetName val="FG20"/>
      <sheetName val="PopCache"/>
      <sheetName val="REAL"/>
      <sheetName val="ND"/>
      <sheetName val="E.Costes_ES"/>
      <sheetName val="Aspectos e Perigos padronizados"/>
      <sheetName val="Grupo 38"/>
      <sheetName val="Indicadores_Econômicos13"/>
      <sheetName val="Consumos_Específicos13"/>
      <sheetName val="Energia_Elétrica13"/>
      <sheetName val="Preços_Insumos13"/>
      <sheetName val="Vendas_US$13"/>
      <sheetName val="Custos_&amp;_Despesas13"/>
      <sheetName val="Custos_&amp;_Despesas_US$13"/>
      <sheetName val="DIF_FAT_FEV_0113"/>
      <sheetName val="DRE-_200013"/>
      <sheetName val="Banco_de_Dados_200113"/>
      <sheetName val="Ind_TC13"/>
      <sheetName val="Três_Marias_(TM)13"/>
      <sheetName val="Morro_Agudo_(MA)13"/>
      <sheetName val="Treinamento_mensal13"/>
      <sheetName val="Treinamento_e_Desen__trimestr13"/>
      <sheetName val="BALANCE_SHEET13"/>
      <sheetName val="Profit_Centers12"/>
      <sheetName val="Vínculos_Simulador_-_coluna13"/>
      <sheetName val="BROWZ_Status_Info12"/>
      <sheetName val="Venta_Auto12"/>
      <sheetName val="PEND__31-12-200312"/>
      <sheetName val="BASE_DE_DADOS13"/>
      <sheetName val="PREMISSAS_211"/>
      <sheetName val="Input_-_Racional_de_Ganho11"/>
      <sheetName val="Banco_Dados(Real)_Consolidado11"/>
      <sheetName val="Art96_IV_RIPI11"/>
      <sheetName val="Receitas_201610"/>
      <sheetName val="Receitas_2017_10"/>
      <sheetName val="Receitas_201810"/>
      <sheetName val="Din_Receitas10"/>
      <sheetName val="Receitas_201910"/>
      <sheetName val="Contratos_de_Gestão_10"/>
      <sheetName val="Contratos_de_Patrocínios_10"/>
      <sheetName val="Investimentos_10"/>
      <sheetName val="CONSOLIDADO_(2)10"/>
      <sheetName val="Projeção_próximos_anos_10"/>
      <sheetName val="Bridge_Cement-Month_L30010"/>
      <sheetName val="Bridge_Cement-YTD_L30010"/>
      <sheetName val="Bridge_Cement-Act_vs_Flash10"/>
      <sheetName val="Cash_basis_Ago-027"/>
      <sheetName val="Base_Triagem7"/>
      <sheetName val="Vinculo_volumes_efetivos_(in)7"/>
      <sheetName val="5_0__Hold__A7"/>
      <sheetName val="2__Macro7"/>
      <sheetName val="Max_D__20027"/>
      <sheetName val="Macroecono_antiga1"/>
      <sheetName val="Gás_Fenosa_-_GATR1"/>
      <sheetName val="CC_(2)1"/>
      <sheetName val="Capex_1920_Postergado1"/>
      <sheetName val="Capex_20211"/>
      <sheetName val="_EEPN1"/>
      <sheetName val="Configurações"/>
      <sheetName val="Macroeconomics"/>
      <sheetName val="CUENTAS POR COBRAR NO COMERCIAL"/>
      <sheetName val="CD_SEC_LOC_#7"/>
      <sheetName val="Dados_gerais"/>
      <sheetName val="INGRESO_DATOS"/>
      <sheetName val="Prueba_global_-_Pasivo"/>
      <sheetName val="R-GyPBCB"/>
      <sheetName val="R-GyPBCOL"/>
      <sheetName val="Charts"/>
      <sheetName val="ROL"/>
      <sheetName val="BSB"/>
      <sheetName val="Capex e Financiamentos (Fase 1)"/>
      <sheetName val="2. Parking"/>
      <sheetName val="Indicadores_Econômicos14"/>
      <sheetName val="Consumos_Específicos14"/>
      <sheetName val="Energia_Elétrica14"/>
      <sheetName val="Preços_Insumos14"/>
      <sheetName val="Vendas_US$14"/>
      <sheetName val="Custos_&amp;_Despesas14"/>
      <sheetName val="Custos_&amp;_Despesas_US$14"/>
      <sheetName val="DIF_FAT_FEV_0114"/>
      <sheetName val="DRE-_200014"/>
      <sheetName val="Banco_de_Dados_200114"/>
      <sheetName val="Ind_TC14"/>
      <sheetName val="Três_Marias_(TM)14"/>
      <sheetName val="Morro_Agudo_(MA)14"/>
      <sheetName val="Treinamento_mensal14"/>
      <sheetName val="Treinamento_e_Desen__trimestr14"/>
      <sheetName val="BALANCE_SHEET14"/>
      <sheetName val="Vínculos_Simulador_-_coluna14"/>
      <sheetName val="Profit_Centers13"/>
      <sheetName val="BROWZ_Status_Info13"/>
      <sheetName val="Venta_Auto13"/>
      <sheetName val="PEND__31-12-200313"/>
      <sheetName val="BASE_DE_DADOS14"/>
      <sheetName val="PREMISSAS_212"/>
      <sheetName val="Input_-_Racional_de_Ganho12"/>
      <sheetName val="Banco_Dados(Real)_Consolidado12"/>
      <sheetName val="Art96_IV_RIPI12"/>
      <sheetName val="Receitas_201611"/>
      <sheetName val="Receitas_2017_11"/>
      <sheetName val="Receitas_201811"/>
      <sheetName val="Din_Receitas11"/>
      <sheetName val="Receitas_201911"/>
      <sheetName val="Contratos_de_Gestão_11"/>
      <sheetName val="Contratos_de_Patrocínios_11"/>
      <sheetName val="Investimentos_11"/>
      <sheetName val="CONSOLIDADO_(2)11"/>
      <sheetName val="Projeção_próximos_anos_11"/>
      <sheetName val="Bridge_Cement-Month_L30011"/>
      <sheetName val="Bridge_Cement-YTD_L30011"/>
      <sheetName val="Bridge_Cement-Act_vs_Flash11"/>
      <sheetName val="Cash_basis_Ago-028"/>
      <sheetName val="Base_Triagem8"/>
      <sheetName val="Vinculo_volumes_efetivos_(in)8"/>
      <sheetName val="5_0__Hold__A8"/>
      <sheetName val="2__Macro8"/>
      <sheetName val="Max_D__20028"/>
      <sheetName val="Banco_de_dados2"/>
      <sheetName val="Macroecono_antiga2"/>
      <sheetName val="Gás_Fenosa_-_GATR2"/>
      <sheetName val="CC_(2)2"/>
      <sheetName val="Capex_1920_Postergado2"/>
      <sheetName val="Capex_20212"/>
      <sheetName val="_EEPN2"/>
      <sheetName val="TABLA_DE_VALORES"/>
      <sheetName val="E_Costes_ES"/>
      <sheetName val="Aspectos_e_Perigos_padronizados"/>
      <sheetName val="Grupo_38"/>
      <sheetName val="Acompanhamento_Metas"/>
      <sheetName val="Info"/>
      <sheetName val="KSB1"/>
      <sheetName val="Depr. UHT20años"/>
      <sheetName val="Resumen"/>
      <sheetName val="2006"/>
      <sheetName val="19-A"/>
      <sheetName val="Quantity"/>
      <sheetName val="PLLA-2DA"/>
      <sheetName val="Fe"/>
      <sheetName val="ANALISIS"/>
      <sheetName val="3.INPUT ACT"/>
      <sheetName val="CWB2"/>
      <sheetName val="Bases Generales"/>
      <sheetName val="Feriados"/>
      <sheetName val="Anual"/>
      <sheetName val="NOV"/>
      <sheetName val="RefG"/>
      <sheetName val="Dados_gerais1"/>
      <sheetName val="INGRESO_DATOS1"/>
      <sheetName val="CD_SEC_LOC_#71"/>
      <sheetName val="Prueba_global_-_Pasivo1"/>
      <sheetName val="CUENTAS_POR_COBRAR_NO_COMERCIAL"/>
      <sheetName val="1.ResumoGráficosBASECASE"/>
      <sheetName val="CONEXION"/>
      <sheetName val="Property List"/>
      <sheetName val="Reference"/>
      <sheetName val="Vtas99-00"/>
      <sheetName val="TERMINACION C-3000"/>
      <sheetName val="Graph"/>
      <sheetName val="Table_Original"/>
      <sheetName val="SB"/>
      <sheetName val="Quarterly Projections"/>
      <sheetName val="Flash"/>
      <sheetName val="12det"/>
      <sheetName val="ePCWork Upload"/>
      <sheetName val="1a. TREND  LIST"/>
      <sheetName val="2a. TREND  LIST NFB"/>
      <sheetName val="Vacanc_Dir"/>
      <sheetName val="Vacanc_Com"/>
      <sheetName val="DIFF_BUS"/>
      <sheetName val="08. Auxiliar Total"/>
      <sheetName val="P&amp;L summary"/>
      <sheetName val="4-RCDP-2001"/>
      <sheetName val="COMP_ROLO"/>
      <sheetName val="Referencias"/>
      <sheetName val="Base Lista"/>
      <sheetName val="Lista de distribuição"/>
      <sheetName val="Base "/>
      <sheetName val="R-GyPCon"/>
      <sheetName val="LTM"/>
      <sheetName val="CREDIT STATS"/>
      <sheetName val="DropZone"/>
      <sheetName val="Analitics"/>
      <sheetName val="Camarones"/>
      <sheetName val="Peces"/>
      <sheetName val="Pollos"/>
      <sheetName val="Vacunos"/>
      <sheetName val="Porcinos"/>
      <sheetName val="Indicadores_Econômicos15"/>
      <sheetName val="Consumos_Específicos15"/>
      <sheetName val="Energia_Elétrica15"/>
      <sheetName val="Preços_Insumos15"/>
      <sheetName val="Vendas_US$15"/>
      <sheetName val="Custos_&amp;_Despesas15"/>
      <sheetName val="Custos_&amp;_Despesas_US$15"/>
      <sheetName val="DIF_FAT_FEV_0115"/>
      <sheetName val="DRE-_200015"/>
      <sheetName val="Banco_de_Dados_200115"/>
      <sheetName val="Ind_TC15"/>
      <sheetName val="PEND__31-12-200314"/>
      <sheetName val="Venta_Auto14"/>
      <sheetName val="Três_Marias_(TM)15"/>
      <sheetName val="Morro_Agudo_(MA)15"/>
      <sheetName val="Treinamento_mensal15"/>
      <sheetName val="Treinamento_e_Desen__trimestr15"/>
      <sheetName val="BALANCE_SHEET15"/>
      <sheetName val="Vínculos_Simulador_-_coluna15"/>
      <sheetName val="Profit_Centers14"/>
      <sheetName val="BROWZ_Status_Info14"/>
      <sheetName val="BASE_DE_DADOS15"/>
      <sheetName val="PREMISSAS_213"/>
      <sheetName val="Input_-_Racional_de_Ganho13"/>
      <sheetName val="Banco_Dados(Real)_Consolidado13"/>
      <sheetName val="Art96_IV_RIPI13"/>
      <sheetName val="Cash_basis_Ago-029"/>
      <sheetName val="Receitas_201612"/>
      <sheetName val="Receitas_2017_12"/>
      <sheetName val="Receitas_201812"/>
      <sheetName val="Din_Receitas12"/>
      <sheetName val="Receitas_201912"/>
      <sheetName val="Contratos_de_Gestão_12"/>
      <sheetName val="Contratos_de_Patrocínios_12"/>
      <sheetName val="Investimentos_12"/>
      <sheetName val="CONSOLIDADO_(2)12"/>
      <sheetName val="Projeção_próximos_anos_12"/>
      <sheetName val="Max_D__20029"/>
      <sheetName val="_EEPN3"/>
      <sheetName val="Banco_de_dados3"/>
      <sheetName val="Dados_gerais2"/>
      <sheetName val="INGRESO_DATOS2"/>
      <sheetName val="Prueba_global_-_Pasivo2"/>
      <sheetName val="CD_SEC_LOC_#72"/>
      <sheetName val="Bridge_Cement-Month_L30012"/>
      <sheetName val="Bridge_Cement-YTD_L30012"/>
      <sheetName val="Bridge_Cement-Act_vs_Flash12"/>
      <sheetName val="Base_Triagem9"/>
      <sheetName val="Vinculo_volumes_efetivos_(in)9"/>
      <sheetName val="5_0__Hold__A9"/>
      <sheetName val="2__Macro9"/>
      <sheetName val="Macroecono_antiga3"/>
      <sheetName val="Gás_Fenosa_-_GATR3"/>
      <sheetName val="CC_(2)3"/>
      <sheetName val="Capex_1920_Postergado3"/>
      <sheetName val="Capex_20213"/>
      <sheetName val="E_Costes_ES1"/>
      <sheetName val="Aspectos_e_Perigos_padronizado1"/>
      <sheetName val="Grupo_381"/>
      <sheetName val="TABLA_DE_VALORES1"/>
      <sheetName val="CUENTAS_POR_COBRAR_NO_COMERCIA1"/>
      <sheetName val="Depr__UHT20años"/>
      <sheetName val="3_INPUT_ACT"/>
      <sheetName val="Bases_Generales"/>
      <sheetName val="Property_List"/>
      <sheetName val="Capex_e_Financiamentos_(Fase_1)"/>
      <sheetName val="2__Parking"/>
      <sheetName val="TERMINACION_C-3000"/>
      <sheetName val="Quarterly_Projections"/>
      <sheetName val="CREDIT_STATS"/>
      <sheetName val="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9">
          <cell r="B19" t="str">
            <v>(-) EXPORT.NÃO EMBARCADAS</v>
          </cell>
        </row>
      </sheetData>
      <sheetData sheetId="40">
        <row r="19">
          <cell r="B19" t="str">
            <v>(-) EXPORT.NÃO EMBARCADAS</v>
          </cell>
        </row>
      </sheetData>
      <sheetData sheetId="41">
        <row r="19">
          <cell r="B19" t="str">
            <v>(-) EXPORT.NÃO EMBARCADAS</v>
          </cell>
        </row>
      </sheetData>
      <sheetData sheetId="42">
        <row r="19">
          <cell r="B19" t="str">
            <v>(-) EXPORT.NÃO EMBARCADAS</v>
          </cell>
        </row>
      </sheetData>
      <sheetData sheetId="43">
        <row r="19">
          <cell r="B19" t="str">
            <v>(-) EXPORT.NÃO EMBARCADAS</v>
          </cell>
        </row>
      </sheetData>
      <sheetData sheetId="44">
        <row r="19">
          <cell r="B19" t="str">
            <v>(-) EXPORT.NÃO EMBARCADAS</v>
          </cell>
        </row>
      </sheetData>
      <sheetData sheetId="45">
        <row r="19">
          <cell r="B19" t="str">
            <v>(-) EXPORT.NÃO EMBARCADAS</v>
          </cell>
        </row>
      </sheetData>
      <sheetData sheetId="46">
        <row r="19">
          <cell r="B19" t="str">
            <v>(-) EXPORT.NÃO EMBARCADAS</v>
          </cell>
        </row>
      </sheetData>
      <sheetData sheetId="47">
        <row r="19">
          <cell r="B19" t="str">
            <v>(-) EXPORT.NÃO EMBARCADAS</v>
          </cell>
        </row>
      </sheetData>
      <sheetData sheetId="48">
        <row r="19">
          <cell r="B19" t="str">
            <v>(-) EXPORT.NÃO EMBARCADAS</v>
          </cell>
        </row>
      </sheetData>
      <sheetData sheetId="49">
        <row r="19">
          <cell r="B19" t="str">
            <v>(-) EXPORT.NÃO EMBARCADAS</v>
          </cell>
        </row>
      </sheetData>
      <sheetData sheetId="50">
        <row r="19">
          <cell r="B19" t="str">
            <v>(-) EXPORT.NÃO EMBARCADAS</v>
          </cell>
        </row>
      </sheetData>
      <sheetData sheetId="51">
        <row r="19">
          <cell r="B19" t="str">
            <v>(-) EXPORT.NÃO EMBARCADAS</v>
          </cell>
        </row>
      </sheetData>
      <sheetData sheetId="52">
        <row r="19">
          <cell r="B19" t="str">
            <v>(-) EXPORT.NÃO EMBARCADAS</v>
          </cell>
        </row>
      </sheetData>
      <sheetData sheetId="53">
        <row r="19">
          <cell r="B19" t="str">
            <v>(-) EXPORT.NÃO EMBARCADAS</v>
          </cell>
        </row>
      </sheetData>
      <sheetData sheetId="54">
        <row r="19">
          <cell r="B19" t="str">
            <v>(-) EXPORT.NÃO EMBARCADAS</v>
          </cell>
        </row>
      </sheetData>
      <sheetData sheetId="55">
        <row r="19">
          <cell r="B19" t="str">
            <v>(-) EXPORT.NÃO EMBARCADAS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>
        <row r="13">
          <cell r="X13">
            <v>0</v>
          </cell>
        </row>
      </sheetData>
      <sheetData sheetId="85">
        <row r="13">
          <cell r="X13">
            <v>0</v>
          </cell>
        </row>
      </sheetData>
      <sheetData sheetId="86">
        <row r="13">
          <cell r="X13">
            <v>0</v>
          </cell>
        </row>
      </sheetData>
      <sheetData sheetId="87">
        <row r="13">
          <cell r="X13">
            <v>0</v>
          </cell>
        </row>
      </sheetData>
      <sheetData sheetId="88">
        <row r="13">
          <cell r="X13">
            <v>0</v>
          </cell>
        </row>
      </sheetData>
      <sheetData sheetId="89">
        <row r="13">
          <cell r="X13">
            <v>0</v>
          </cell>
        </row>
      </sheetData>
      <sheetData sheetId="90">
        <row r="13">
          <cell r="X13">
            <v>0</v>
          </cell>
        </row>
      </sheetData>
      <sheetData sheetId="91">
        <row r="13">
          <cell r="X13">
            <v>0</v>
          </cell>
        </row>
      </sheetData>
      <sheetData sheetId="92">
        <row r="13">
          <cell r="X13">
            <v>0</v>
          </cell>
        </row>
      </sheetData>
      <sheetData sheetId="93">
        <row r="13">
          <cell r="X13">
            <v>0</v>
          </cell>
        </row>
      </sheetData>
      <sheetData sheetId="94">
        <row r="13">
          <cell r="X13">
            <v>0</v>
          </cell>
        </row>
      </sheetData>
      <sheetData sheetId="95">
        <row r="13">
          <cell r="X13">
            <v>0</v>
          </cell>
        </row>
      </sheetData>
      <sheetData sheetId="96">
        <row r="13">
          <cell r="X13">
            <v>0</v>
          </cell>
        </row>
      </sheetData>
      <sheetData sheetId="97">
        <row r="13">
          <cell r="X13">
            <v>0</v>
          </cell>
        </row>
      </sheetData>
      <sheetData sheetId="98">
        <row r="13">
          <cell r="X13">
            <v>0</v>
          </cell>
        </row>
      </sheetData>
      <sheetData sheetId="99">
        <row r="13">
          <cell r="X13">
            <v>0</v>
          </cell>
        </row>
      </sheetData>
      <sheetData sheetId="100">
        <row r="13">
          <cell r="X13">
            <v>0</v>
          </cell>
        </row>
      </sheetData>
      <sheetData sheetId="101">
        <row r="13">
          <cell r="X13">
            <v>0</v>
          </cell>
        </row>
      </sheetData>
      <sheetData sheetId="102">
        <row r="13">
          <cell r="X13">
            <v>0</v>
          </cell>
        </row>
      </sheetData>
      <sheetData sheetId="103">
        <row r="13">
          <cell r="X13">
            <v>0</v>
          </cell>
        </row>
      </sheetData>
      <sheetData sheetId="104">
        <row r="13">
          <cell r="X13">
            <v>0</v>
          </cell>
        </row>
      </sheetData>
      <sheetData sheetId="105">
        <row r="13">
          <cell r="X13">
            <v>0</v>
          </cell>
        </row>
      </sheetData>
      <sheetData sheetId="106">
        <row r="13">
          <cell r="X13">
            <v>0</v>
          </cell>
        </row>
      </sheetData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>
        <row r="13">
          <cell r="X13">
            <v>0</v>
          </cell>
        </row>
      </sheetData>
      <sheetData sheetId="124">
        <row r="13">
          <cell r="X13">
            <v>0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13">
          <cell r="X13">
            <v>0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3">
          <cell r="F3">
            <v>36923</v>
          </cell>
        </row>
      </sheetData>
      <sheetData sheetId="155">
        <row r="3">
          <cell r="F3">
            <v>36923</v>
          </cell>
        </row>
      </sheetData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13">
          <cell r="X13">
            <v>0</v>
          </cell>
        </row>
      </sheetData>
      <sheetData sheetId="172">
        <row r="13">
          <cell r="X13">
            <v>0</v>
          </cell>
        </row>
      </sheetData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3">
          <cell r="F3">
            <v>36923</v>
          </cell>
        </row>
      </sheetData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>
        <row r="13">
          <cell r="X13">
            <v>0</v>
          </cell>
        </row>
      </sheetData>
      <sheetData sheetId="196">
        <row r="13">
          <cell r="X13">
            <v>0</v>
          </cell>
        </row>
      </sheetData>
      <sheetData sheetId="197">
        <row r="13">
          <cell r="X13">
            <v>0</v>
          </cell>
        </row>
      </sheetData>
      <sheetData sheetId="198">
        <row r="13">
          <cell r="X13">
            <v>0</v>
          </cell>
        </row>
      </sheetData>
      <sheetData sheetId="199"/>
      <sheetData sheetId="200">
        <row r="13">
          <cell r="X13">
            <v>0</v>
          </cell>
        </row>
      </sheetData>
      <sheetData sheetId="201"/>
      <sheetData sheetId="202">
        <row r="13">
          <cell r="X13">
            <v>0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13">
          <cell r="X13">
            <v>0</v>
          </cell>
        </row>
      </sheetData>
      <sheetData sheetId="236">
        <row r="13">
          <cell r="X13">
            <v>0</v>
          </cell>
        </row>
      </sheetData>
      <sheetData sheetId="237">
        <row r="13">
          <cell r="X13">
            <v>0</v>
          </cell>
        </row>
      </sheetData>
      <sheetData sheetId="238">
        <row r="13">
          <cell r="X13">
            <v>0</v>
          </cell>
        </row>
      </sheetData>
      <sheetData sheetId="239">
        <row r="13">
          <cell r="X13">
            <v>0</v>
          </cell>
        </row>
      </sheetData>
      <sheetData sheetId="240"/>
      <sheetData sheetId="241">
        <row r="13">
          <cell r="X13">
            <v>0</v>
          </cell>
        </row>
      </sheetData>
      <sheetData sheetId="242"/>
      <sheetData sheetId="243"/>
      <sheetData sheetId="244"/>
      <sheetData sheetId="245">
        <row r="13">
          <cell r="X13">
            <v>0</v>
          </cell>
        </row>
      </sheetData>
      <sheetData sheetId="246">
        <row r="13">
          <cell r="X13">
            <v>0</v>
          </cell>
        </row>
      </sheetData>
      <sheetData sheetId="247">
        <row r="13">
          <cell r="X13">
            <v>0</v>
          </cell>
        </row>
      </sheetData>
      <sheetData sheetId="248">
        <row r="13">
          <cell r="X13">
            <v>0</v>
          </cell>
        </row>
      </sheetData>
      <sheetData sheetId="249">
        <row r="13">
          <cell r="X13">
            <v>0</v>
          </cell>
        </row>
      </sheetData>
      <sheetData sheetId="250">
        <row r="13">
          <cell r="X13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>
        <row r="13">
          <cell r="X13">
            <v>0</v>
          </cell>
        </row>
      </sheetData>
      <sheetData sheetId="260">
        <row r="3">
          <cell r="F3">
            <v>36923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>
        <row r="13">
          <cell r="X13">
            <v>0</v>
          </cell>
        </row>
      </sheetData>
      <sheetData sheetId="269">
        <row r="3">
          <cell r="F3">
            <v>36923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3">
          <cell r="F3">
            <v>36923</v>
          </cell>
        </row>
      </sheetData>
      <sheetData sheetId="279"/>
      <sheetData sheetId="280">
        <row r="13">
          <cell r="X13">
            <v>0</v>
          </cell>
        </row>
      </sheetData>
      <sheetData sheetId="281"/>
      <sheetData sheetId="282">
        <row r="13">
          <cell r="X13">
            <v>0</v>
          </cell>
        </row>
      </sheetData>
      <sheetData sheetId="283"/>
      <sheetData sheetId="284">
        <row r="13">
          <cell r="X13">
            <v>0</v>
          </cell>
        </row>
      </sheetData>
      <sheetData sheetId="285"/>
      <sheetData sheetId="286">
        <row r="13">
          <cell r="X13">
            <v>0</v>
          </cell>
        </row>
      </sheetData>
      <sheetData sheetId="287"/>
      <sheetData sheetId="288"/>
      <sheetData sheetId="289">
        <row r="13">
          <cell r="X13">
            <v>0</v>
          </cell>
        </row>
      </sheetData>
      <sheetData sheetId="290"/>
      <sheetData sheetId="291">
        <row r="13">
          <cell r="X13">
            <v>0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13">
          <cell r="X13">
            <v>0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>
        <row r="13">
          <cell r="X13">
            <v>0</v>
          </cell>
        </row>
      </sheetData>
      <sheetData sheetId="313"/>
      <sheetData sheetId="314">
        <row r="13">
          <cell r="X13">
            <v>0</v>
          </cell>
        </row>
      </sheetData>
      <sheetData sheetId="315"/>
      <sheetData sheetId="316"/>
      <sheetData sheetId="317">
        <row r="13">
          <cell r="X13">
            <v>0</v>
          </cell>
        </row>
      </sheetData>
      <sheetData sheetId="318"/>
      <sheetData sheetId="319">
        <row r="13">
          <cell r="X13">
            <v>0</v>
          </cell>
        </row>
      </sheetData>
      <sheetData sheetId="320"/>
      <sheetData sheetId="321">
        <row r="13">
          <cell r="X13">
            <v>0</v>
          </cell>
        </row>
      </sheetData>
      <sheetData sheetId="322"/>
      <sheetData sheetId="323">
        <row r="13">
          <cell r="X13">
            <v>0</v>
          </cell>
        </row>
      </sheetData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>
        <row r="13">
          <cell r="X13">
            <v>0</v>
          </cell>
        </row>
      </sheetData>
      <sheetData sheetId="339"/>
      <sheetData sheetId="340">
        <row r="13">
          <cell r="X13">
            <v>0</v>
          </cell>
        </row>
      </sheetData>
      <sheetData sheetId="341"/>
      <sheetData sheetId="342">
        <row r="13">
          <cell r="X13">
            <v>0</v>
          </cell>
        </row>
      </sheetData>
      <sheetData sheetId="343"/>
      <sheetData sheetId="344">
        <row r="13">
          <cell r="X13">
            <v>0</v>
          </cell>
        </row>
      </sheetData>
      <sheetData sheetId="345"/>
      <sheetData sheetId="346"/>
      <sheetData sheetId="347">
        <row r="13">
          <cell r="X13">
            <v>0</v>
          </cell>
        </row>
      </sheetData>
      <sheetData sheetId="348"/>
      <sheetData sheetId="349">
        <row r="13">
          <cell r="X13">
            <v>0</v>
          </cell>
        </row>
      </sheetData>
      <sheetData sheetId="350"/>
      <sheetData sheetId="351">
        <row r="13">
          <cell r="X13">
            <v>0</v>
          </cell>
        </row>
      </sheetData>
      <sheetData sheetId="352"/>
      <sheetData sheetId="353">
        <row r="13">
          <cell r="X13">
            <v>0</v>
          </cell>
        </row>
      </sheetData>
      <sheetData sheetId="354"/>
      <sheetData sheetId="355"/>
      <sheetData sheetId="356">
        <row r="13">
          <cell r="X13">
            <v>0</v>
          </cell>
        </row>
      </sheetData>
      <sheetData sheetId="357">
        <row r="3">
          <cell r="F3">
            <v>36923</v>
          </cell>
        </row>
      </sheetData>
      <sheetData sheetId="358">
        <row r="13">
          <cell r="X13">
            <v>0</v>
          </cell>
        </row>
      </sheetData>
      <sheetData sheetId="359"/>
      <sheetData sheetId="360">
        <row r="13">
          <cell r="X13">
            <v>0</v>
          </cell>
        </row>
      </sheetData>
      <sheetData sheetId="361"/>
      <sheetData sheetId="362">
        <row r="13">
          <cell r="X13">
            <v>0</v>
          </cell>
        </row>
      </sheetData>
      <sheetData sheetId="363"/>
      <sheetData sheetId="364"/>
      <sheetData sheetId="365"/>
      <sheetData sheetId="366">
        <row r="3">
          <cell r="F3">
            <v>36923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>
        <row r="3">
          <cell r="F3">
            <v>36923</v>
          </cell>
        </row>
      </sheetData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>
        <row r="13">
          <cell r="X13">
            <v>0</v>
          </cell>
        </row>
      </sheetData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>
        <row r="13">
          <cell r="X13">
            <v>0</v>
          </cell>
        </row>
      </sheetData>
      <sheetData sheetId="417"/>
      <sheetData sheetId="418"/>
      <sheetData sheetId="419"/>
      <sheetData sheetId="420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3">
          <cell r="X13">
            <v>0</v>
          </cell>
        </row>
      </sheetData>
      <sheetData sheetId="451"/>
      <sheetData sheetId="452">
        <row r="13">
          <cell r="X13">
            <v>0</v>
          </cell>
        </row>
      </sheetData>
      <sheetData sheetId="453"/>
      <sheetData sheetId="454">
        <row r="13">
          <cell r="X13">
            <v>0</v>
          </cell>
        </row>
      </sheetData>
      <sheetData sheetId="455"/>
      <sheetData sheetId="456">
        <row r="13">
          <cell r="X13">
            <v>0</v>
          </cell>
        </row>
      </sheetData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13">
          <cell r="X13">
            <v>0</v>
          </cell>
        </row>
      </sheetData>
      <sheetData sheetId="496"/>
      <sheetData sheetId="497">
        <row r="13">
          <cell r="X13">
            <v>0</v>
          </cell>
        </row>
      </sheetData>
      <sheetData sheetId="498"/>
      <sheetData sheetId="499">
        <row r="13">
          <cell r="X13">
            <v>0</v>
          </cell>
        </row>
      </sheetData>
      <sheetData sheetId="500"/>
      <sheetData sheetId="501">
        <row r="13">
          <cell r="X13">
            <v>0</v>
          </cell>
        </row>
      </sheetData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>
        <row r="13">
          <cell r="X13">
            <v>0</v>
          </cell>
        </row>
      </sheetData>
      <sheetData sheetId="541">
        <row r="13">
          <cell r="X13">
            <v>0</v>
          </cell>
        </row>
      </sheetData>
      <sheetData sheetId="542">
        <row r="13">
          <cell r="X13">
            <v>0</v>
          </cell>
        </row>
      </sheetData>
      <sheetData sheetId="543">
        <row r="13">
          <cell r="X13">
            <v>0</v>
          </cell>
        </row>
      </sheetData>
      <sheetData sheetId="544">
        <row r="13">
          <cell r="X13">
            <v>0</v>
          </cell>
        </row>
      </sheetData>
      <sheetData sheetId="545">
        <row r="13">
          <cell r="X13">
            <v>0</v>
          </cell>
        </row>
      </sheetData>
      <sheetData sheetId="546">
        <row r="13">
          <cell r="X13">
            <v>0</v>
          </cell>
        </row>
      </sheetData>
      <sheetData sheetId="547"/>
      <sheetData sheetId="548">
        <row r="13">
          <cell r="X13">
            <v>0</v>
          </cell>
        </row>
      </sheetData>
      <sheetData sheetId="549"/>
      <sheetData sheetId="550"/>
      <sheetData sheetId="551"/>
      <sheetData sheetId="552"/>
      <sheetData sheetId="553"/>
      <sheetData sheetId="554">
        <row r="13">
          <cell r="X13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>
        <row r="13">
          <cell r="X13">
            <v>0</v>
          </cell>
        </row>
      </sheetData>
      <sheetData sheetId="586"/>
      <sheetData sheetId="587">
        <row r="13">
          <cell r="X13">
            <v>0</v>
          </cell>
        </row>
      </sheetData>
      <sheetData sheetId="588"/>
      <sheetData sheetId="589">
        <row r="13">
          <cell r="X13">
            <v>0</v>
          </cell>
        </row>
      </sheetData>
      <sheetData sheetId="590"/>
      <sheetData sheetId="591">
        <row r="13">
          <cell r="X13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13">
          <cell r="X13">
            <v>0</v>
          </cell>
        </row>
      </sheetData>
      <sheetData sheetId="631"/>
      <sheetData sheetId="632">
        <row r="13">
          <cell r="X13">
            <v>0</v>
          </cell>
        </row>
      </sheetData>
      <sheetData sheetId="633"/>
      <sheetData sheetId="634">
        <row r="13">
          <cell r="X13">
            <v>0</v>
          </cell>
        </row>
      </sheetData>
      <sheetData sheetId="635"/>
      <sheetData sheetId="636">
        <row r="13">
          <cell r="X13">
            <v>0</v>
          </cell>
        </row>
      </sheetData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>
        <row r="13">
          <cell r="X13">
            <v>0</v>
          </cell>
        </row>
      </sheetData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>
        <row r="3">
          <cell r="F3">
            <v>36923</v>
          </cell>
        </row>
      </sheetData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>
        <row r="13">
          <cell r="X13">
            <v>0</v>
          </cell>
        </row>
      </sheetData>
      <sheetData sheetId="710"/>
      <sheetData sheetId="711">
        <row r="13">
          <cell r="X13">
            <v>0</v>
          </cell>
        </row>
      </sheetData>
      <sheetData sheetId="712"/>
      <sheetData sheetId="713">
        <row r="13">
          <cell r="X13">
            <v>0</v>
          </cell>
        </row>
      </sheetData>
      <sheetData sheetId="714"/>
      <sheetData sheetId="715">
        <row r="13">
          <cell r="X13">
            <v>0</v>
          </cell>
        </row>
      </sheetData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>
        <row r="13">
          <cell r="X13">
            <v>0</v>
          </cell>
        </row>
      </sheetData>
      <sheetData sheetId="731"/>
      <sheetData sheetId="732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>
        <row r="13">
          <cell r="X13">
            <v>0</v>
          </cell>
        </row>
      </sheetData>
      <sheetData sheetId="775">
        <row r="13">
          <cell r="X13">
            <v>0</v>
          </cell>
        </row>
      </sheetData>
      <sheetData sheetId="776">
        <row r="13">
          <cell r="X13">
            <v>0</v>
          </cell>
        </row>
      </sheetData>
      <sheetData sheetId="777">
        <row r="13">
          <cell r="X13">
            <v>0</v>
          </cell>
        </row>
      </sheetData>
      <sheetData sheetId="778">
        <row r="13">
          <cell r="X13">
            <v>0</v>
          </cell>
        </row>
      </sheetData>
      <sheetData sheetId="779"/>
      <sheetData sheetId="780">
        <row r="13">
          <cell r="X13">
            <v>0</v>
          </cell>
        </row>
      </sheetData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>
        <row r="13">
          <cell r="X13">
            <v>0</v>
          </cell>
        </row>
      </sheetData>
      <sheetData sheetId="797"/>
      <sheetData sheetId="798"/>
      <sheetData sheetId="799"/>
      <sheetData sheetId="800"/>
      <sheetData sheetId="80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3">
          <cell r="X13">
            <v>0</v>
          </cell>
        </row>
      </sheetData>
      <sheetData sheetId="891">
        <row r="13">
          <cell r="X13">
            <v>0</v>
          </cell>
        </row>
      </sheetData>
      <sheetData sheetId="892">
        <row r="13">
          <cell r="X13">
            <v>0</v>
          </cell>
        </row>
      </sheetData>
      <sheetData sheetId="893">
        <row r="13">
          <cell r="X13">
            <v>0</v>
          </cell>
        </row>
      </sheetData>
      <sheetData sheetId="894">
        <row r="13">
          <cell r="X13">
            <v>0</v>
          </cell>
        </row>
      </sheetData>
      <sheetData sheetId="895">
        <row r="13">
          <cell r="X13">
            <v>0</v>
          </cell>
        </row>
      </sheetData>
      <sheetData sheetId="896">
        <row r="13">
          <cell r="X13">
            <v>0</v>
          </cell>
        </row>
      </sheetData>
      <sheetData sheetId="897">
        <row r="13">
          <cell r="X13">
            <v>0</v>
          </cell>
        </row>
      </sheetData>
      <sheetData sheetId="898">
        <row r="13">
          <cell r="X13">
            <v>0</v>
          </cell>
        </row>
      </sheetData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>
        <row r="13">
          <cell r="X13">
            <v>0</v>
          </cell>
        </row>
      </sheetData>
      <sheetData sheetId="911"/>
      <sheetData sheetId="912"/>
      <sheetData sheetId="913"/>
      <sheetData sheetId="914"/>
      <sheetData sheetId="915"/>
      <sheetData sheetId="916">
        <row r="13">
          <cell r="X13">
            <v>0</v>
          </cell>
        </row>
      </sheetData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0-90"/>
      <sheetName val="91-00"/>
      <sheetName val="Plan1"/>
      <sheetName val="Plan1 (2)"/>
      <sheetName val="APOIO"/>
      <sheetName val="Plan4"/>
      <sheetName val="Dias Úteis"/>
      <sheetName val="Aux"/>
      <sheetName val="Base ferreterias"/>
      <sheetName val="Plan1_(2)"/>
      <sheetName val="2. Instruções"/>
      <sheetName val="Dias_Úteis"/>
      <sheetName val="2__Instruções"/>
      <sheetName val="Plan1_(2)1"/>
      <sheetName val="Dias_Úteis1"/>
      <sheetName val="2__Instruções1"/>
      <sheetName val="Plan1_(2)2"/>
      <sheetName val="Dias_Úteis2"/>
      <sheetName val="2__Instruções2"/>
      <sheetName val="Plan1_(2)3"/>
      <sheetName val="Dias_Úteis3"/>
      <sheetName val="2__Instruções3"/>
      <sheetName val="Plan1_(2)4"/>
      <sheetName val="Dias_Úteis4"/>
      <sheetName val="2__Instruções4"/>
      <sheetName val="Plan1_(2)5"/>
      <sheetName val="Dias_Úteis5"/>
      <sheetName val="2__Instruções5"/>
      <sheetName val="Planilha2"/>
      <sheetName val="Plan1_(2)6"/>
      <sheetName val="Dias_Úteis6"/>
      <sheetName val="2__Instruções6"/>
      <sheetName val="Plan1_(2)7"/>
      <sheetName val="Dias_Úteis7"/>
      <sheetName val="2__Instruções7"/>
      <sheetName val="Plan1_(2)8"/>
      <sheetName val="Dias_Úteis8"/>
      <sheetName val="2__Instruções8"/>
      <sheetName val="Proc"/>
      <sheetName val="Plan1_(2)9"/>
      <sheetName val="Dias_Úteis9"/>
      <sheetName val="2__Instruções9"/>
      <sheetName val="Padrão"/>
      <sheetName val="Plan1_(2)10"/>
      <sheetName val="Dias_Úteis10"/>
      <sheetName val="2__Instruções10"/>
      <sheetName val="Plan1_(2)11"/>
      <sheetName val="Dias_Úteis11"/>
      <sheetName val="2__Instruções11"/>
      <sheetName val="Plan1_(2)12"/>
      <sheetName val="Dias_Úteis12"/>
      <sheetName val="2__Instruções12"/>
      <sheetName val="#REF"/>
      <sheetName val="Plan1_(2)13"/>
      <sheetName val="Dias_Úteis13"/>
      <sheetName val="2__Instruções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IXA INDIRETO"/>
      <sheetName val="Dívida"/>
      <sheetName val="Fluxo Mês "/>
      <sheetName val="Fluxo Acum"/>
      <sheetName val="Fluxo Previsto"/>
      <sheetName val="Hexágono Mês"/>
      <sheetName val="Hexágono Dez"/>
      <sheetName val="Pentágono dez03"/>
      <sheetName val="Pentágono mês"/>
      <sheetName val="RESULTADO"/>
      <sheetName val="RESULTADO ACUMUL"/>
      <sheetName val="SENSIBILIDADE"/>
      <sheetName val="Fluxo Acum BD"/>
      <sheetName val="Dólar"/>
      <sheetName val="ACUMULADO"/>
      <sheetName val="PREVISÃO"/>
      <sheetName val="CAIXA_INDIRETO"/>
      <sheetName val="Fluxo_Mês_"/>
      <sheetName val="Fluxo_Acum"/>
      <sheetName val="Fluxo_Previsto"/>
      <sheetName val="Hexágono_Mês"/>
      <sheetName val="Hexágono_Dez"/>
      <sheetName val="Pentágono_dez03"/>
      <sheetName val="Pentágono_mês"/>
      <sheetName val="RESULTADO_ACUMUL"/>
      <sheetName val="Fluxo_Acum_B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Cognos_Office_Connection_Cache"/>
      <sheetName val="Summary 1"/>
      <sheetName val="Summary 2"/>
    </sheetNames>
    <sheetDataSet>
      <sheetData sheetId="0" refreshError="1"/>
      <sheetData sheetId="1">
        <row r="2">
          <cell r="B2" t="str">
            <v>Total Value</v>
          </cell>
        </row>
        <row r="3">
          <cell r="B3" t="str">
            <v>Value</v>
          </cell>
        </row>
        <row r="4">
          <cell r="B4" t="str">
            <v>Adjustments</v>
          </cell>
        </row>
        <row r="5">
          <cell r="B5" t="str">
            <v>EBITDA Econômico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V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000BF"/>
      </a:accent1>
      <a:accent2>
        <a:srgbClr val="000000"/>
      </a:accent2>
      <a:accent3>
        <a:srgbClr val="6F8DB9"/>
      </a:accent3>
      <a:accent4>
        <a:srgbClr val="000000"/>
      </a:accent4>
      <a:accent5>
        <a:srgbClr val="002060"/>
      </a:accent5>
      <a:accent6>
        <a:srgbClr val="000000"/>
      </a:accent6>
      <a:hlink>
        <a:srgbClr val="002060"/>
      </a:hlink>
      <a:folHlink>
        <a:srgbClr val="0000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532AC4-7056-42AF-8505-2AA02DFDDAB5}">
  <we:reference id="wa200005502" version="1.0.0.12" store="pt-BR" storeType="OMEX"/>
  <we:alternateReferences>
    <we:reference id="WA200005502" version="1.0.0.12" store="" storeType="OMEX"/>
  </we:alternateReferences>
  <we:properties>
    <we:property name="docId" value="&quot;_V_cjG_216BLEsIsd2Gj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7.bin"/><Relationship Id="rId2" Type="http://schemas.openxmlformats.org/officeDocument/2006/relationships/customProperty" Target="../customProperty6.bin"/><Relationship Id="rId1" Type="http://schemas.openxmlformats.org/officeDocument/2006/relationships/customProperty" Target="../customProperty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2.bin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4069-3DD6-4D13-83A2-A6C06610131A}">
  <dimension ref="B1:B33"/>
  <sheetViews>
    <sheetView workbookViewId="0"/>
  </sheetViews>
  <sheetFormatPr defaultRowHeight="14.4"/>
  <sheetData>
    <row r="1" spans="2:2">
      <c r="B1" s="24" t="s">
        <v>270</v>
      </c>
    </row>
    <row r="2" spans="2:2">
      <c r="B2" s="24" t="s">
        <v>42</v>
      </c>
    </row>
    <row r="3" spans="2:2">
      <c r="B3" s="24" t="s">
        <v>21</v>
      </c>
    </row>
    <row r="4" spans="2:2">
      <c r="B4" s="24" t="s">
        <v>36</v>
      </c>
    </row>
    <row r="5" spans="2:2">
      <c r="B5" s="24" t="s">
        <v>271</v>
      </c>
    </row>
    <row r="6" spans="2:2">
      <c r="B6" s="24" t="s">
        <v>272</v>
      </c>
    </row>
    <row r="7" spans="2:2">
      <c r="B7" s="24" t="s">
        <v>273</v>
      </c>
    </row>
    <row r="8" spans="2:2">
      <c r="B8" s="24" t="s">
        <v>37</v>
      </c>
    </row>
    <row r="9" spans="2:2">
      <c r="B9" s="24" t="s">
        <v>274</v>
      </c>
    </row>
    <row r="10" spans="2:2">
      <c r="B10" s="24" t="s">
        <v>275</v>
      </c>
    </row>
    <row r="11" spans="2:2">
      <c r="B11" s="24" t="s">
        <v>22</v>
      </c>
    </row>
    <row r="12" spans="2:2">
      <c r="B12" s="24" t="s">
        <v>43</v>
      </c>
    </row>
    <row r="13" spans="2:2">
      <c r="B13" s="24" t="s">
        <v>276</v>
      </c>
    </row>
    <row r="14" spans="2:2">
      <c r="B14" s="24" t="s">
        <v>277</v>
      </c>
    </row>
    <row r="15" spans="2:2">
      <c r="B15" s="24" t="s">
        <v>278</v>
      </c>
    </row>
    <row r="16" spans="2:2">
      <c r="B16" s="24" t="s">
        <v>36</v>
      </c>
    </row>
    <row r="17" spans="2:2">
      <c r="B17" s="24" t="s">
        <v>271</v>
      </c>
    </row>
    <row r="18" spans="2:2">
      <c r="B18" s="24" t="s">
        <v>272</v>
      </c>
    </row>
    <row r="19" spans="2:2">
      <c r="B19" s="24" t="s">
        <v>273</v>
      </c>
    </row>
    <row r="20" spans="2:2">
      <c r="B20" s="24" t="s">
        <v>279</v>
      </c>
    </row>
    <row r="21" spans="2:2">
      <c r="B21" s="24" t="s">
        <v>280</v>
      </c>
    </row>
    <row r="22" spans="2:2">
      <c r="B22" s="24" t="s">
        <v>37</v>
      </c>
    </row>
    <row r="23" spans="2:2">
      <c r="B23" s="24" t="s">
        <v>274</v>
      </c>
    </row>
    <row r="24" spans="2:2">
      <c r="B24" s="24" t="s">
        <v>275</v>
      </c>
    </row>
    <row r="25" spans="2:2">
      <c r="B25" s="24" t="s">
        <v>43</v>
      </c>
    </row>
    <row r="26" spans="2:2">
      <c r="B26" s="24" t="s">
        <v>276</v>
      </c>
    </row>
    <row r="27" spans="2:2">
      <c r="B27" s="24" t="s">
        <v>277</v>
      </c>
    </row>
    <row r="28" spans="2:2">
      <c r="B28" s="24" t="s">
        <v>281</v>
      </c>
    </row>
    <row r="29" spans="2:2">
      <c r="B29" s="24" t="s">
        <v>271</v>
      </c>
    </row>
    <row r="30" spans="2:2">
      <c r="B30" s="24" t="s">
        <v>272</v>
      </c>
    </row>
    <row r="31" spans="2:2">
      <c r="B31" s="24" t="s">
        <v>276</v>
      </c>
    </row>
    <row r="32" spans="2:2">
      <c r="B32" s="24" t="s">
        <v>277</v>
      </c>
    </row>
    <row r="33" spans="2:2">
      <c r="B33" s="24" t="s">
        <v>22</v>
      </c>
    </row>
  </sheetData>
  <pageMargins left="0.511811024" right="0.511811024" top="0.78740157499999996" bottom="0.78740157499999996" header="0.31496062000000002" footer="0.31496062000000002"/>
  <customProperties>
    <customPr name="CafeStyleVersion" r:id="rId1"/>
    <customPr name="LastTupleSet_0" r:id="rId2"/>
    <customPr name="LastTupleSet_COR_Mappings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682C-FECC-460A-B141-E475051105C8}">
  <dimension ref="S49:U51"/>
  <sheetViews>
    <sheetView showGridLines="0" workbookViewId="0">
      <selection activeCell="U51" sqref="U51"/>
    </sheetView>
  </sheetViews>
  <sheetFormatPr defaultColWidth="11.33203125" defaultRowHeight="14.4"/>
  <cols>
    <col min="1" max="16384" width="11.33203125" style="29"/>
  </cols>
  <sheetData>
    <row r="49" spans="19:21">
      <c r="S49"/>
      <c r="T49"/>
      <c r="U49"/>
    </row>
    <row r="50" spans="19:21">
      <c r="S50"/>
      <c r="T50"/>
      <c r="U50"/>
    </row>
    <row r="51" spans="19:21">
      <c r="S51"/>
      <c r="T51"/>
      <c r="U5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CA92-90D3-4534-9C3A-E4926D1A70FF}">
  <dimension ref="A1:B120"/>
  <sheetViews>
    <sheetView topLeftCell="A33" workbookViewId="0">
      <selection activeCell="B47" sqref="B47"/>
    </sheetView>
  </sheetViews>
  <sheetFormatPr defaultRowHeight="14.4"/>
  <sheetData>
    <row r="1" spans="1:2">
      <c r="A1" s="2" t="s">
        <v>3</v>
      </c>
      <c r="B1" s="2"/>
    </row>
    <row r="2" spans="1:2">
      <c r="A2" s="7" t="s">
        <v>4</v>
      </c>
      <c r="B2" s="7"/>
    </row>
    <row r="3" spans="1:2">
      <c r="A3" s="7" t="s">
        <v>5</v>
      </c>
      <c r="B3" s="7"/>
    </row>
    <row r="4" spans="1:2">
      <c r="A4" t="s">
        <v>6</v>
      </c>
    </row>
    <row r="5" spans="1:2">
      <c r="A5" t="s">
        <v>7</v>
      </c>
    </row>
    <row r="6" spans="1:2">
      <c r="A6" t="s">
        <v>8</v>
      </c>
    </row>
    <row r="8" spans="1:2">
      <c r="A8" s="2" t="s">
        <v>9</v>
      </c>
      <c r="B8" s="2"/>
    </row>
    <row r="9" spans="1:2">
      <c r="A9" t="str">
        <f ca="1">_xll.SUBNM("CONS_VC:ALL.D.Year","","2025")</f>
        <v>RECALC_0_7_</v>
      </c>
    </row>
    <row r="11" spans="1:2">
      <c r="A11" s="2" t="s">
        <v>10</v>
      </c>
      <c r="B11" s="2"/>
    </row>
    <row r="12" spans="1:2">
      <c r="A12" t="str">
        <f ca="1">_xll.SUBNM("CONS_VC:ALL.D.Month",,"Total YTD","MEMBER_NAME")</f>
        <v>RECALC_0_9_</v>
      </c>
    </row>
    <row r="13" spans="1:2">
      <c r="A13" t="str">
        <f ca="1">_xll.SUBNM("CONS_VC:ALL.D.Month",,"Year","MEMBER_NAME")</f>
        <v>RECALC_0_10_</v>
      </c>
    </row>
    <row r="14" spans="1:2">
      <c r="A14" t="str">
        <f ca="1">_xll.SUBNM("CONS_VC:ALL.D.Month",,"01","MEMBER_NAME")</f>
        <v>RECALC_0_494_</v>
      </c>
    </row>
    <row r="16" spans="1:2">
      <c r="A16" s="2" t="s">
        <v>11</v>
      </c>
      <c r="B16" s="2"/>
    </row>
    <row r="22" spans="1:2">
      <c r="A22" s="2" t="s">
        <v>12</v>
      </c>
      <c r="B22" s="2"/>
    </row>
    <row r="23" spans="1:2">
      <c r="A23" t="str">
        <f ca="1">_xll.SUBNM("CONS_VC:ALL.D.Currency","","BRL Conv.")</f>
        <v>RECALC_0_496_</v>
      </c>
    </row>
    <row r="24" spans="1:2">
      <c r="A24" t="str">
        <f ca="1">_xll.SUBNM("CONS_VC:ALL.D.Currency","","USD Conv.")</f>
        <v>RECALC_0_497_</v>
      </c>
    </row>
    <row r="25" spans="1:2">
      <c r="A25" t="str">
        <f ca="1">_xll.SUBNM("CONS_VC:ALL.D.Currency","","EUR Conv.")</f>
        <v>RECALC_0_498_</v>
      </c>
    </row>
    <row r="28" spans="1:2">
      <c r="A28" s="2" t="s">
        <v>13</v>
      </c>
      <c r="B28" s="2"/>
    </row>
    <row r="29" spans="1:2">
      <c r="A29" t="str">
        <f ca="1">_xll.SUBNM("CONS_VC:ALL.D.Region","","Global")</f>
        <v>RECALC_0_495_</v>
      </c>
    </row>
    <row r="30" spans="1:2">
      <c r="A30" t="s">
        <v>21</v>
      </c>
    </row>
    <row r="31" spans="1:2">
      <c r="A31" t="s">
        <v>22</v>
      </c>
    </row>
    <row r="32" spans="1:2">
      <c r="A32" t="s">
        <v>36</v>
      </c>
    </row>
    <row r="33" spans="1:2">
      <c r="A33" t="s">
        <v>37</v>
      </c>
    </row>
    <row r="35" spans="1:2">
      <c r="A35" s="2" t="s">
        <v>14</v>
      </c>
      <c r="B35" s="2"/>
    </row>
    <row r="36" spans="1:2">
      <c r="A36" t="str">
        <f ca="1">_xll.SUBNM("CONS_VC:ALL.D.Products","","Total Products")</f>
        <v>RECALC_0_11_</v>
      </c>
    </row>
    <row r="38" spans="1:2">
      <c r="A38" s="2" t="s">
        <v>15</v>
      </c>
      <c r="B38" s="2"/>
    </row>
    <row r="39" spans="1:2">
      <c r="A39" t="s">
        <v>16</v>
      </c>
    </row>
    <row r="41" spans="1:2">
      <c r="A41" s="8" t="s">
        <v>17</v>
      </c>
      <c r="B41" s="8"/>
    </row>
    <row r="42" spans="1:2">
      <c r="A42" t="s">
        <v>18</v>
      </c>
    </row>
    <row r="43" spans="1:2">
      <c r="A43" s="9"/>
      <c r="B43" s="9"/>
    </row>
    <row r="44" spans="1:2">
      <c r="A44" s="10"/>
      <c r="B44" s="10"/>
    </row>
    <row r="45" spans="1:2">
      <c r="A45" s="2" t="s">
        <v>19</v>
      </c>
      <c r="B45" s="2"/>
    </row>
    <row r="46" spans="1:2">
      <c r="A46" s="11" t="s">
        <v>20</v>
      </c>
      <c r="B46" s="11" t="s">
        <v>27</v>
      </c>
    </row>
    <row r="47" spans="1:2">
      <c r="A47" s="13" t="str" cm="1">
        <f t="array" aca="1" ref="A47" ca="1">_xll.DBR($A$3,$A$9,$A$14,Summary!$L$4,$A$23,$A$29,$A$36,"EBITDA","Total Value")</f>
        <v>RECALC_1_501_</v>
      </c>
      <c r="B47" s="12" t="e">
        <f ca="1">"R$ "&amp; ROUND(A47,0) &amp; " M"</f>
        <v>#VALUE!</v>
      </c>
    </row>
    <row r="48" spans="1:2">
      <c r="A48" t="str" cm="1">
        <f t="array" aca="1" ref="A48" ca="1">IFERROR((_xll.DBR($A$3,$A$9,$A$14,Summary!$L$4,$A$23,$A$29,$A$36,"EBITDA","Total Value") - _xll.DBR($A$3,$A$9,$A$14,Summary!$N$4,$A$23,$A$29,$A$36,"EBITDA","Total Value"))/ _xll.DBR($A$3,$A$9,$A$14,Summary!$N$4,$A$23,$A$29,$A$36,"EBITDA","Total Value"),0) &amp;"%" &amp; " vs. Budget"</f>
        <v>0% vs. Budget</v>
      </c>
      <c r="B48" s="2"/>
    </row>
    <row r="50" spans="1:2">
      <c r="A50" s="11" t="s">
        <v>28</v>
      </c>
      <c r="B50" s="11" t="s">
        <v>27</v>
      </c>
    </row>
    <row r="51" spans="1:2">
      <c r="A51" s="9" t="str" cm="1">
        <f t="array" aca="1" ref="A51" ca="1">_xll.DBR($A$3,$A$9,$A$12,Summary!$L$4,$A$23,$A$29,$A$36,"EBITDA","Total Value")</f>
        <v>RECALC_1_522_</v>
      </c>
      <c r="B51" s="9" t="e">
        <f ca="1">"R$ "&amp; ROUND(A51,0) &amp; " M"</f>
        <v>#VALUE!</v>
      </c>
    </row>
    <row r="52" spans="1:2">
      <c r="A52" s="9" t="str" cm="1">
        <f t="array" aca="1" ref="A52" ca="1">IFERROR((_xll.DBR($A$3,$A$9,$A$12,Summary!$L$4,$A$23,$A$29,$A$36,"EBITDA","Total Value") - _xll.DBR($A$3,$A$9,$A$12,Summary!$N$4,$A$23,$A$29,$A$36,"EBITDA","Total Value"))/ _xll.DBR($A$3,$A$9,$A$12,Summary!$N$4,$A$23,$A$29,$A$36,"EBITDA","Total Value"),0) &amp;"%" &amp; " vs. Budget"</f>
        <v>0% vs. Budget</v>
      </c>
      <c r="B52" s="9"/>
    </row>
    <row r="53" spans="1:2">
      <c r="A53" s="9"/>
      <c r="B53" s="9"/>
    </row>
    <row r="54" spans="1:2">
      <c r="A54" s="11" t="s">
        <v>30</v>
      </c>
      <c r="B54" s="11" t="s">
        <v>27</v>
      </c>
    </row>
    <row r="55" spans="1:2">
      <c r="A55" s="9" t="str" cm="1">
        <f t="array" aca="1" ref="A55" ca="1">_xll.DBR($A$3,$A$9,$A$13,Summary!$L$4,$A$23,$A$29,$A$36,"EBITDA","Total Value")</f>
        <v>RECALC_1_504_</v>
      </c>
      <c r="B55" s="9" t="e">
        <f ca="1">"R$ "&amp; ROUND(A55,0) &amp; " M"</f>
        <v>#VALUE!</v>
      </c>
    </row>
    <row r="56" spans="1:2">
      <c r="A56" s="9" t="str" cm="1">
        <f t="array" aca="1" ref="A56" ca="1">IFERROR((_xll.DBR($A$3,$A$9,$A$13,Summary!$L$4,$A$23,$A$29,$A$36,"EBITDA","Total Value") - _xll.DBR($A$3,$A$9,$A$13,Summary!$N$4,$A$23,$A$29,$A$36,"EBITDA","Total Value"))/ _xll.DBR($A$3,$A$9,$A$13,Summary!$N$4,$A$23,$A$29,$A$36,"EBITDA","Total Value"),0) &amp;"%" &amp; " vs. Budget"</f>
        <v>0% vs. Budget</v>
      </c>
      <c r="B56" s="9"/>
    </row>
    <row r="57" spans="1:2">
      <c r="A57" s="9"/>
      <c r="B57" s="9"/>
    </row>
    <row r="58" spans="1:2">
      <c r="A58" s="2" t="s">
        <v>32</v>
      </c>
      <c r="B58" s="2" t="s">
        <v>27</v>
      </c>
    </row>
    <row r="59" spans="1:2">
      <c r="A59" s="11" t="s">
        <v>21</v>
      </c>
      <c r="B59" s="11"/>
    </row>
    <row r="60" spans="1:2">
      <c r="A60" s="9" t="str" cm="1">
        <f t="array" aca="1" ref="A60" ca="1">_xll.DBR($A$3,$A$9,$A$14,Summary!$J$4,$A$23,$A$30,$A$36,"EBITDA","Total Value")</f>
        <v>RECALC_1_512_</v>
      </c>
      <c r="B60" s="9" t="s">
        <v>33</v>
      </c>
    </row>
    <row r="61" spans="1:2">
      <c r="A61" s="9" t="str" cm="1">
        <f t="array" aca="1" ref="A61" ca="1">_xll.DBR($A$3,$A$9,$A$14,Summary!$L$4,$A$23,$A$30,$A$36,"EBITDA","Total Value")</f>
        <v>RECALC_1_509_</v>
      </c>
      <c r="B61" s="9" t="s">
        <v>34</v>
      </c>
    </row>
    <row r="62" spans="1:2">
      <c r="A62" s="14">
        <f ca="1">IFERROR((A60-A61)/A61,0)</f>
        <v>0</v>
      </c>
    </row>
    <row r="63" spans="1:2">
      <c r="A63" s="9"/>
      <c r="B63" s="9"/>
    </row>
    <row r="64" spans="1:2">
      <c r="A64" s="11" t="s">
        <v>21</v>
      </c>
      <c r="B64" s="11"/>
    </row>
    <row r="65" spans="1:2">
      <c r="A65" s="9" t="str" cm="1">
        <f t="array" aca="1" ref="A65" ca="1">_xll.DBR($A$3,$A$9,$A$12,Summary!$J$4,$A$23,$A$30,$A$36,"EBITDA","Total Value")</f>
        <v>RECALC_1_506_</v>
      </c>
      <c r="B65" s="9" t="s">
        <v>33</v>
      </c>
    </row>
    <row r="66" spans="1:2">
      <c r="A66" s="9" t="str" cm="1">
        <f t="array" aca="1" ref="A66" ca="1">_xll.DBR($A$3,$A$9,$A$12,Summary!$L$4,$A$23,$A$30,$A$36,"EBITDA","Total Value")</f>
        <v>RECALC_1_503_</v>
      </c>
      <c r="B66" s="9" t="s">
        <v>34</v>
      </c>
    </row>
    <row r="67" spans="1:2">
      <c r="A67" s="14">
        <f ca="1">IFERROR((A65-A66)/A66,0)</f>
        <v>0</v>
      </c>
    </row>
    <row r="68" spans="1:2">
      <c r="A68" s="9"/>
      <c r="B68" s="9"/>
    </row>
    <row r="69" spans="1:2">
      <c r="A69" s="15" t="s">
        <v>21</v>
      </c>
      <c r="B69" s="9"/>
    </row>
    <row r="70" spans="1:2">
      <c r="A70" s="9" t="str" cm="1">
        <f t="array" aca="1" ref="A70" ca="1">_xll.DBR($A$3,$A$9,$A$13,Summary!$J$4,$A$23,$A$30,$A$36,"EBITDA","Total Value")</f>
        <v>RECALC_1_519_</v>
      </c>
      <c r="B70" s="9" t="s">
        <v>33</v>
      </c>
    </row>
    <row r="71" spans="1:2">
      <c r="A71" s="9" t="str" cm="1">
        <f t="array" aca="1" ref="A71" ca="1">_xll.DBR($A$3,$A$9,$A$13,Summary!$L$4,$A$23,$A$30,$A$36,"EBITDA","Total Value")</f>
        <v>RECALC_1_518_</v>
      </c>
      <c r="B71" s="9" t="s">
        <v>34</v>
      </c>
    </row>
    <row r="72" spans="1:2">
      <c r="A72" t="str" cm="1">
        <f t="array" aca="1" ref="A72" ca="1">_xll.DBR($A$3,$A$9,$A$13,Summary!$L$4,$A$23,$A$30,$A$36,B72,"Total Value")</f>
        <v>RECALC_1_500_</v>
      </c>
      <c r="B72" t="s">
        <v>35</v>
      </c>
    </row>
    <row r="74" spans="1:2">
      <c r="A74" s="11" t="s">
        <v>22</v>
      </c>
      <c r="B74" s="11"/>
    </row>
    <row r="75" spans="1:2">
      <c r="A75" s="9" t="str" cm="1">
        <f t="array" aca="1" ref="A75" ca="1">_xll.DBR($A$3,$A$9,$A$14,Summary!$J$4,$A$24,$A$31,$A$36,"EBITDA","Total Value")</f>
        <v>RECALC_1_514_</v>
      </c>
      <c r="B75" s="9" t="s">
        <v>33</v>
      </c>
    </row>
    <row r="76" spans="1:2">
      <c r="A76" s="9" t="str" cm="1">
        <f t="array" aca="1" ref="A76" ca="1">_xll.DBR($A$3,$A$9,$A$14,Summary!$L$4,$A$24,$A$31,$A$36,"EBITDA","Total Value")</f>
        <v>RECALC_1_511_</v>
      </c>
      <c r="B76" s="9" t="s">
        <v>34</v>
      </c>
    </row>
    <row r="77" spans="1:2">
      <c r="A77" s="14">
        <f ca="1">IFERROR((A75-A76)/A76,0)</f>
        <v>0</v>
      </c>
    </row>
    <row r="78" spans="1:2">
      <c r="A78" s="9"/>
      <c r="B78" s="9"/>
    </row>
    <row r="79" spans="1:2">
      <c r="A79" s="11" t="s">
        <v>22</v>
      </c>
      <c r="B79" s="11"/>
    </row>
    <row r="80" spans="1:2">
      <c r="A80" s="9" t="str" cm="1">
        <f t="array" aca="1" ref="A80" ca="1">_xll.DBR($A$3,$A$9,$A$12,Summary!$J$4,$A$24,$A$31,$A$36,"EBITDA","Total Value")</f>
        <v>RECALC_1_517_</v>
      </c>
      <c r="B80" s="9" t="s">
        <v>33</v>
      </c>
    </row>
    <row r="81" spans="1:2">
      <c r="A81" s="9" t="str" cm="1">
        <f t="array" aca="1" ref="A81" ca="1">_xll.DBR($A$3,$A$9,$A$12,Summary!$L$4,$A$24,$A$31,$A$36,"EBITDA","Total Value")</f>
        <v>RECALC_1_508_</v>
      </c>
      <c r="B81" s="9" t="s">
        <v>34</v>
      </c>
    </row>
    <row r="82" spans="1:2">
      <c r="A82" s="14">
        <f ca="1">IFERROR((A80-A81)/A81,0)</f>
        <v>0</v>
      </c>
    </row>
    <row r="83" spans="1:2">
      <c r="A83" s="9"/>
      <c r="B83" s="9"/>
    </row>
    <row r="84" spans="1:2">
      <c r="A84" s="11" t="s">
        <v>22</v>
      </c>
      <c r="B84" s="9"/>
    </row>
    <row r="85" spans="1:2">
      <c r="A85" s="9" t="str" cm="1">
        <f t="array" aca="1" ref="A85" ca="1">_xll.DBR($A$3,$A$9,$A$13,Summary!$J$4,$A$24,$A$31,$A$36,"EBITDA","Total Value")</f>
        <v>RECALC_1_516_</v>
      </c>
      <c r="B85" s="9" t="s">
        <v>33</v>
      </c>
    </row>
    <row r="86" spans="1:2">
      <c r="A86" s="9" t="str" cm="1">
        <f t="array" aca="1" ref="A86" ca="1">_xll.DBR($A$3,$A$9,$A$13,Summary!$L$4,$A$24,$A$31,$A$36,"EBITDA","Total Value")</f>
        <v>RECALC_1_507_</v>
      </c>
      <c r="B86" s="9" t="s">
        <v>34</v>
      </c>
    </row>
    <row r="87" spans="1:2">
      <c r="A87" t="str" cm="1">
        <f t="array" aca="1" ref="A87" ca="1">_xll.DBR($A$3,$A$9,$A$13,Summary!$L$4,$A$24,$A$31,$A$36,B87,"Total Value")</f>
        <v>RECALC_1_499_</v>
      </c>
      <c r="B87" t="s">
        <v>35</v>
      </c>
    </row>
    <row r="88" spans="1:2">
      <c r="A88" s="14">
        <f ca="1">IFERROR((A86-A87)/A87,0)</f>
        <v>0</v>
      </c>
    </row>
    <row r="90" spans="1:2">
      <c r="A90" s="11" t="s">
        <v>23</v>
      </c>
      <c r="B90" s="11"/>
    </row>
    <row r="91" spans="1:2">
      <c r="A91" t="str" cm="1">
        <f t="array" aca="1" ref="A91" ca="1">_xll.DBR($A$3,$A$9,$A$14,Summary!$J$4,$A$25,$A$32,$A$36,"EBITDA","Total Value")</f>
        <v>RECALC_1_510_</v>
      </c>
      <c r="B91" s="9" t="s">
        <v>33</v>
      </c>
    </row>
    <row r="92" spans="1:2">
      <c r="A92" t="str" cm="1">
        <f t="array" aca="1" ref="A92" ca="1">_xll.DBR($A$3,$A$9,$A$14,Summary!$L$4,$A$25,$A$32,$A$36,"EBITDA","Total Value")</f>
        <v>RECALC_1_515_</v>
      </c>
      <c r="B92" s="9" t="s">
        <v>34</v>
      </c>
    </row>
    <row r="93" spans="1:2">
      <c r="A93" s="14">
        <f>IFERROR((#REF!-#REF!)/#REF!,0)</f>
        <v>0</v>
      </c>
    </row>
    <row r="94" spans="1:2">
      <c r="A94" s="9"/>
      <c r="B94" s="9"/>
    </row>
    <row r="95" spans="1:2">
      <c r="A95" s="11" t="s">
        <v>23</v>
      </c>
      <c r="B95" s="11"/>
    </row>
    <row r="96" spans="1:2">
      <c r="A96" s="9" t="str" cm="1">
        <f t="array" aca="1" ref="A96" ca="1">_xll.DBR($A$3,$A$9,$A$12,Summary!$J$4,$A$25,$A$32,$A$36,"EBITDA","Total Value")</f>
        <v>RECALC_1_505_</v>
      </c>
      <c r="B96" s="9" t="s">
        <v>33</v>
      </c>
    </row>
    <row r="97" spans="1:2">
      <c r="A97" s="9" t="str" cm="1">
        <f t="array" aca="1" ref="A97" ca="1">_xll.DBR($A$3,$A$9,$A$12,Summary!$L$4,$A$25,$A$32,$A$36,"EBITDA","Total Value")</f>
        <v>RECALC_1_521_</v>
      </c>
      <c r="B97" s="9" t="s">
        <v>34</v>
      </c>
    </row>
    <row r="98" spans="1:2">
      <c r="A98" s="14">
        <f ca="1">IFERROR((A96-A97)/A97,0)</f>
        <v>0</v>
      </c>
    </row>
    <row r="99" spans="1:2">
      <c r="A99" s="9"/>
      <c r="B99" s="9"/>
    </row>
    <row r="100" spans="1:2">
      <c r="A100" s="11" t="s">
        <v>23</v>
      </c>
      <c r="B100" s="9"/>
    </row>
    <row r="101" spans="1:2">
      <c r="A101" s="9" t="str" cm="1">
        <f t="array" aca="1" ref="A101" ca="1">_xll.DBR($A$3,$A$9,$A$13,Summary!$J$4,$A$25,$A$32,$A$36,"EBITDA","Total Value")</f>
        <v>RECALC_1_520_</v>
      </c>
      <c r="B101" s="9" t="s">
        <v>33</v>
      </c>
    </row>
    <row r="102" spans="1:2">
      <c r="A102" s="9" t="str">
        <f ca="1">_xll.DBR($A$3,$A$9,$A$13,Summary!$L$4,$A$25,$A$32,$A$36,"EBITDA","Total Value")</f>
        <v>RECALC_1_524_</v>
      </c>
      <c r="B102" s="9" t="s">
        <v>34</v>
      </c>
    </row>
    <row r="103" spans="1:2">
      <c r="A103" t="str" cm="1">
        <f t="array" aca="1" ref="A103" ca="1">_xll.DBR($A$3,$A$9,$A$13,Summary!$L$4,$A$25,$A$32,$A$36,B103,"Total Value")</f>
        <v>RECALC_1_525_</v>
      </c>
      <c r="B103" t="s">
        <v>35</v>
      </c>
    </row>
    <row r="104" spans="1:2">
      <c r="A104" s="14">
        <f ca="1">IFERROR((A101-A102)/A102,0)</f>
        <v>0</v>
      </c>
    </row>
    <row r="106" spans="1:2">
      <c r="A106" s="11" t="s">
        <v>24</v>
      </c>
      <c r="B106" s="11"/>
    </row>
    <row r="107" spans="1:2">
      <c r="A107" t="str" cm="1">
        <f t="array" aca="1" ref="A107" ca="1">_xll.DBR($A$3,$A$9,$A$14,Summary!$J$4,$A$24,$A$33,$A$36,"EBITDA","Total Value")</f>
        <v>RECALC_1_526_</v>
      </c>
      <c r="B107" s="9" t="s">
        <v>33</v>
      </c>
    </row>
    <row r="108" spans="1:2">
      <c r="A108" t="str" cm="1">
        <f t="array" aca="1" ref="A108" ca="1">_xll.DBR($A$3,$A$9,$A$14,Summary!$L$4,$A$24,$A$33,$A$36,"EBITDA","Total Value")</f>
        <v>RECALC_1_528_</v>
      </c>
      <c r="B108" s="9" t="s">
        <v>34</v>
      </c>
    </row>
    <row r="109" spans="1:2">
      <c r="A109" s="14">
        <f>IFERROR((#REF!-#REF!)/#REF!,0)</f>
        <v>0</v>
      </c>
    </row>
    <row r="110" spans="1:2">
      <c r="A110" s="9"/>
      <c r="B110" s="9"/>
    </row>
    <row r="111" spans="1:2">
      <c r="A111" s="11" t="s">
        <v>24</v>
      </c>
      <c r="B111" s="11"/>
    </row>
    <row r="112" spans="1:2">
      <c r="A112" s="9" t="str" cm="1">
        <f t="array" aca="1" ref="A112" ca="1">_xll.DBR($A$3,$A$9,$A$12,Summary!$J$4,$A$24,$A$33,$A$36,"EBITDA","Total Value")</f>
        <v>RECALC_1_527_</v>
      </c>
      <c r="B112" s="9" t="s">
        <v>33</v>
      </c>
    </row>
    <row r="113" spans="1:2">
      <c r="A113" s="9" t="str" cm="1">
        <f t="array" aca="1" ref="A113" ca="1">_xll.DBR($A$3,$A$9,$A$12,Summary!$L$4,$A$24,$A$33,$A$36,"EBITDA","Total Value")</f>
        <v>RECALC_1_529_</v>
      </c>
      <c r="B113" s="9" t="s">
        <v>34</v>
      </c>
    </row>
    <row r="114" spans="1:2">
      <c r="A114" s="14">
        <f ca="1">IFERROR((A112-A113)/A113,0)</f>
        <v>0</v>
      </c>
    </row>
    <row r="115" spans="1:2">
      <c r="A115" s="9"/>
      <c r="B115" s="9"/>
    </row>
    <row r="116" spans="1:2">
      <c r="A116" s="11" t="s">
        <v>24</v>
      </c>
      <c r="B116" s="9"/>
    </row>
    <row r="117" spans="1:2">
      <c r="A117" s="9" t="str" cm="1">
        <f t="array" aca="1" ref="A117" ca="1">_xll.DBR($A$3,$A$9,$A$13,Summary!$J$4,$A$24,$A$33,$A$36,"EBITDA","Total Value")</f>
        <v>RECALC_1_530_</v>
      </c>
      <c r="B117" s="9" t="s">
        <v>33</v>
      </c>
    </row>
    <row r="118" spans="1:2">
      <c r="A118" s="9" t="str">
        <f ca="1">_xll.DBR($A$3,$A$9,$A$13,Summary!$L$4,$A$24,$A$33,$A$36,"EBITDA","Total Value")</f>
        <v>RECALC_1_533_</v>
      </c>
      <c r="B118" s="9" t="s">
        <v>34</v>
      </c>
    </row>
    <row r="119" spans="1:2">
      <c r="A119" t="str" cm="1">
        <f t="array" aca="1" ref="A119" ca="1">_xll.DBR($A$3,$A$9,$A$13,Summary!$L$4,$A$24,$A$33,$A$36,B119,"Total Value")</f>
        <v>RECALC_1_532_</v>
      </c>
      <c r="B119" t="s">
        <v>35</v>
      </c>
    </row>
    <row r="120" spans="1:2">
      <c r="A120" s="14">
        <f ca="1">IFERROR((A117-A118)/A118,0)</f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FCF1-3F09-4226-BC45-7CD7A3EE5F13}">
  <dimension ref="D2:R28"/>
  <sheetViews>
    <sheetView showGridLines="0" zoomScale="85" zoomScaleNormal="85" workbookViewId="0">
      <selection activeCell="X20" sqref="X20"/>
    </sheetView>
  </sheetViews>
  <sheetFormatPr defaultRowHeight="14.4"/>
  <cols>
    <col min="1" max="1" width="10.5546875" customWidth="1"/>
    <col min="2" max="2" width="9.5546875" customWidth="1"/>
  </cols>
  <sheetData>
    <row r="2" spans="4:18" ht="25.8">
      <c r="D2" s="1" t="s">
        <v>0</v>
      </c>
    </row>
    <row r="4" spans="4:18" ht="21">
      <c r="D4" s="4" t="s">
        <v>1</v>
      </c>
      <c r="E4" s="5"/>
      <c r="F4" s="5"/>
      <c r="G4" s="5"/>
      <c r="H4" s="5"/>
      <c r="I4" s="5"/>
      <c r="J4" s="67" t="str">
        <f ca="1">_xll.SUBNM("CONS_VC:ALL.D.Version",,"L300","MEMBER_NAME")</f>
        <v>RECALC_0_4_</v>
      </c>
      <c r="K4" s="5"/>
      <c r="L4" s="67" t="str">
        <f ca="1">_xll.SUBNM("CONS_VC:ALL.D.Version",,"RF","Descrição")</f>
        <v>RECALC_0_5_</v>
      </c>
      <c r="M4" s="5"/>
      <c r="N4" s="67" t="s">
        <v>25</v>
      </c>
      <c r="O4" s="5"/>
      <c r="P4" s="5"/>
      <c r="Q4" s="5"/>
      <c r="R4" s="5"/>
    </row>
    <row r="6" spans="4:18" ht="21">
      <c r="I6" s="3" t="s">
        <v>31</v>
      </c>
    </row>
    <row r="7" spans="4:18" ht="21">
      <c r="D7" s="6" t="s">
        <v>2</v>
      </c>
    </row>
    <row r="16" spans="4:18" ht="21">
      <c r="D16" s="6" t="s">
        <v>26</v>
      </c>
    </row>
    <row r="28" spans="4:4" ht="21">
      <c r="D28" s="6" t="s">
        <v>29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191F-8DD0-42DE-8271-C165B3F3D2E4}">
  <dimension ref="A1:N40"/>
  <sheetViews>
    <sheetView showGridLines="0" zoomScale="90" zoomScaleNormal="90" workbookViewId="0">
      <selection activeCell="A36" sqref="A36"/>
    </sheetView>
  </sheetViews>
  <sheetFormatPr defaultRowHeight="14.4"/>
  <cols>
    <col min="1" max="1" width="20.5546875" customWidth="1"/>
    <col min="2" max="15" width="11.44140625" customWidth="1"/>
  </cols>
  <sheetData>
    <row r="1" spans="1:14">
      <c r="A1" s="17" t="str">
        <f ca="1">_xll.VIEW("CONS_VC:REV.100.Revenue_Consolidated",$A$2,"!","!",$A$9,$A$10,'Cement Volumes &amp; Prices'!$O$3,$A$4,$A$11)</f>
        <v>CONS_VC:REV.100.Revenue_Consolidated:205767106-196713936</v>
      </c>
      <c r="B1" s="17"/>
      <c r="C1" s="16"/>
    </row>
    <row r="2" spans="1:14">
      <c r="A2" s="23" t="str">
        <f ca="1">'Cement Volumes &amp; Prices'!$L$3</f>
        <v>RECALC_0_531_</v>
      </c>
      <c r="B2" s="18"/>
    </row>
    <row r="3" spans="1:14">
      <c r="B3" s="18"/>
    </row>
    <row r="4" spans="1:14">
      <c r="A4" s="23" t="str">
        <f ca="1">_xll.SUBNM("CONS_VC:ALL.D.Market","","Total Market")</f>
        <v>RECALC_0_573_</v>
      </c>
      <c r="B4" s="18"/>
    </row>
    <row r="5" spans="1:14">
      <c r="B5" s="18"/>
    </row>
    <row r="6" spans="1:14">
      <c r="B6" s="18"/>
    </row>
    <row r="7" spans="1:14">
      <c r="B7" s="18"/>
    </row>
    <row r="9" spans="1:14" ht="15" thickBot="1">
      <c r="A9" t="str">
        <f ca="1">_xll.SUBNM("CONS_VC:ALL.D.Currency","Default","BRL","MEMBER_NAME")</f>
        <v>RECALC_0_33_</v>
      </c>
      <c r="B9" s="21"/>
      <c r="C9" s="20" t="s">
        <v>44</v>
      </c>
      <c r="D9" s="20" t="s">
        <v>46</v>
      </c>
      <c r="E9" s="20" t="s">
        <v>45</v>
      </c>
      <c r="F9" s="20" t="s">
        <v>47</v>
      </c>
      <c r="G9" s="20" t="s">
        <v>48</v>
      </c>
      <c r="H9" s="20" t="s">
        <v>49</v>
      </c>
      <c r="I9" s="20" t="s">
        <v>55</v>
      </c>
      <c r="J9" s="20" t="s">
        <v>50</v>
      </c>
      <c r="K9" s="20" t="s">
        <v>51</v>
      </c>
      <c r="L9" s="20" t="s">
        <v>52</v>
      </c>
      <c r="M9" s="20" t="s">
        <v>53</v>
      </c>
      <c r="N9" s="20" t="s">
        <v>54</v>
      </c>
    </row>
    <row r="10" spans="1:14">
      <c r="A10" t="str">
        <f ca="1">_xll.SUBNM("CONS_VC:ALL.D.Region","Default","VCBR","MEMBER_NAME")</f>
        <v>RECALC_0_577_</v>
      </c>
      <c r="B10" s="22" t="str">
        <f ca="1">'Cement Volumes &amp; Prices'!$S$3</f>
        <v>RECALC_0_536_</v>
      </c>
      <c r="C10" s="19" t="str">
        <f ca="1">_xll.DBRW($A$1,$A$2,C$9,$B10,$A9,$A10,'Cement Volumes &amp; Prices'!$O$3,$A$4,$A11)</f>
        <v>RECALC_1_631_</v>
      </c>
      <c r="D10" s="19" t="str">
        <f ca="1">_xll.DBRW($A$1,$A$2,D$9,$B10,$A9,$A10,'Cement Volumes &amp; Prices'!$O$3,$A$4,$A11)</f>
        <v>RECALC_1_783_</v>
      </c>
      <c r="E10" s="19" t="str">
        <f ca="1">_xll.DBRW($A$1,$A$2,E$9,$B10,$A9,$A10,'Cement Volumes &amp; Prices'!$O$3,$A$4,$A11)</f>
        <v>RECALC_1_662_</v>
      </c>
      <c r="F10" s="19" t="str">
        <f ca="1">_xll.DBRW($A$1,$A$2,F$9,$B10,$A9,$A10,'Cement Volumes &amp; Prices'!$O$3,$A$4,$A11)</f>
        <v>RECALC_1_711_</v>
      </c>
      <c r="G10" s="19" t="str">
        <f ca="1">_xll.DBRW($A$1,$A$2,G$9,$B10,$A9,$A10,'Cement Volumes &amp; Prices'!$O$3,$A$4,$A11)</f>
        <v>RECALC_1_785_</v>
      </c>
      <c r="H10" s="19" t="str">
        <f ca="1">_xll.DBRW($A$1,$A$2,H$9,$B10,$A9,$A10,'Cement Volumes &amp; Prices'!$O$3,$A$4,$A11)</f>
        <v>RECALC_1_749_</v>
      </c>
      <c r="I10" s="19" t="str">
        <f ca="1">_xll.DBRW($A$1,$A$2,I$9,$B10,$A9,$A10,'Cement Volumes &amp; Prices'!$O$3,$A$4,$A11)</f>
        <v>RECALC_1_691_</v>
      </c>
      <c r="J10" s="19" t="str">
        <f ca="1">_xll.DBRW($A$1,$A$2,J$9,$B10,$A9,$A10,'Cement Volumes &amp; Prices'!$O$3,$A$4,$A11)</f>
        <v>RECALC_1_731_</v>
      </c>
      <c r="K10" s="19" t="str">
        <f ca="1">_xll.DBRW($A$1,$A$2,K$9,$B10,$A9,$A10,'Cement Volumes &amp; Prices'!$O$3,$A$4,$A11)</f>
        <v>RECALC_1_646_</v>
      </c>
      <c r="L10" s="19" t="str">
        <f ca="1">_xll.DBRW($A$1,$A$2,L$9,$B10,$A9,$A10,'Cement Volumes &amp; Prices'!$O$3,$A$4,$A11)</f>
        <v>RECALC_1_743_</v>
      </c>
      <c r="M10" s="19" t="str">
        <f ca="1">_xll.DBRW($A$1,$A$2,M$9,$B10,$A9,$A10,'Cement Volumes &amp; Prices'!$O$3,$A$4,$A11)</f>
        <v>RECALC_1_751_</v>
      </c>
      <c r="N10" s="19" t="str">
        <f ca="1">_xll.DBRW($A$1,$A$2,N$9,$B10,$A9,$A10,'Cement Volumes &amp; Prices'!$O$3,$A$4,$A11)</f>
        <v>RECALC_1_730_</v>
      </c>
    </row>
    <row r="11" spans="1:14">
      <c r="A11" t="str">
        <f ca="1">_xll.SUBNM("CONS_VC:REV.M.100.Revenue_Consolidated","Default","Sales Volume [kt]")</f>
        <v>RECALC_0_562_</v>
      </c>
      <c r="B11" s="22" t="str">
        <f ca="1">'Cement Volumes &amp; Prices'!$U$3</f>
        <v>RECALC_0_537_</v>
      </c>
      <c r="C11" s="19" t="str">
        <f ca="1">_xll.DBRW($A$1,$A$2,C$9,$B11,$A9,$A10,'Cement Volumes &amp; Prices'!$O$3,$A$4,$A11)</f>
        <v>RECALC_1_647_</v>
      </c>
      <c r="D11" s="19" t="str">
        <f ca="1">_xll.DBRW($A$1,$A$2,D$9,$B11,$A9,$A10,'Cement Volumes &amp; Prices'!$O$3,$A$4,$A11)</f>
        <v>RECALC_1_757_</v>
      </c>
      <c r="E11" s="19" t="str">
        <f ca="1">_xll.DBRW($A$1,$A$2,E$9,$B11,$A9,$A10,'Cement Volumes &amp; Prices'!$O$3,$A$4,$A11)</f>
        <v>RECALC_1_602_</v>
      </c>
      <c r="F11" s="19" t="str">
        <f ca="1">_xll.DBRW($A$1,$A$2,F$9,$B11,$A9,$A10,'Cement Volumes &amp; Prices'!$O$3,$A$4,$A11)</f>
        <v>RECALC_1_714_</v>
      </c>
      <c r="G11" s="19" t="str">
        <f ca="1">_xll.DBRW($A$1,$A$2,G$9,$B11,$A9,$A10,'Cement Volumes &amp; Prices'!$O$3,$A$4,$A11)</f>
        <v>RECALC_1_734_</v>
      </c>
      <c r="H11" s="19" t="str">
        <f ca="1">_xll.DBRW($A$1,$A$2,H$9,$B11,$A9,$A10,'Cement Volumes &amp; Prices'!$O$3,$A$4,$A11)</f>
        <v>RECALC_1_645_</v>
      </c>
      <c r="I11" s="19" t="str">
        <f ca="1">_xll.DBRW($A$1,$A$2,I$9,$B11,$A9,$A10,'Cement Volumes &amp; Prices'!$O$3,$A$4,$A11)</f>
        <v>RECALC_1_614_</v>
      </c>
      <c r="J11" s="19" t="str">
        <f ca="1">_xll.DBRW($A$1,$A$2,J$9,$B11,$A9,$A10,'Cement Volumes &amp; Prices'!$O$3,$A$4,$A11)</f>
        <v>RECALC_1_651_</v>
      </c>
      <c r="K11" s="19" t="str">
        <f ca="1">_xll.DBRW($A$1,$A$2,K$9,$B11,$A9,$A10,'Cement Volumes &amp; Prices'!$O$3,$A$4,$A11)</f>
        <v>RECALC_1_747_</v>
      </c>
      <c r="L11" s="19" t="str">
        <f ca="1">_xll.DBRW($A$1,$A$2,L$9,$B11,$A9,$A10,'Cement Volumes &amp; Prices'!$O$3,$A$4,$A11)</f>
        <v>RECALC_1_755_</v>
      </c>
      <c r="M11" s="19" t="str">
        <f ca="1">_xll.DBRW($A$1,$A$2,M$9,$B11,$A9,$A10,'Cement Volumes &amp; Prices'!$O$3,$A$4,$A11)</f>
        <v>RECALC_1_622_</v>
      </c>
      <c r="N11" s="19" t="str">
        <f ca="1">_xll.DBRW($A$1,$A$2,N$9,$B11,$A9,$A10,'Cement Volumes &amp; Prices'!$O$3,$A$4,$A11)</f>
        <v>RECALC_1_621_</v>
      </c>
    </row>
    <row r="13" spans="1:14" ht="15" thickBot="1">
      <c r="A13" t="str">
        <f ca="1">_xll.SUBNM("CONS_VC:ALL.D.Currency","Default","USD","MEMBER_NAME")</f>
        <v>RECALC_0_561_</v>
      </c>
      <c r="B13" s="21"/>
      <c r="C13" s="20" t="s">
        <v>44</v>
      </c>
      <c r="D13" s="20" t="s">
        <v>46</v>
      </c>
      <c r="E13" s="20" t="s">
        <v>45</v>
      </c>
      <c r="F13" s="20" t="s">
        <v>47</v>
      </c>
      <c r="G13" s="20" t="s">
        <v>48</v>
      </c>
      <c r="H13" s="20" t="s">
        <v>49</v>
      </c>
      <c r="I13" s="20" t="s">
        <v>55</v>
      </c>
      <c r="J13" s="20" t="s">
        <v>50</v>
      </c>
      <c r="K13" s="20" t="s">
        <v>51</v>
      </c>
      <c r="L13" s="20" t="s">
        <v>52</v>
      </c>
      <c r="M13" s="20" t="s">
        <v>53</v>
      </c>
      <c r="N13" s="20" t="s">
        <v>54</v>
      </c>
    </row>
    <row r="14" spans="1:14">
      <c r="A14" t="str">
        <f ca="1">_xll.SUBNM("CONS_VC:ALL.D.Region","Default","VCNA","MEMBER_NAME")</f>
        <v>RECALC_0_571_</v>
      </c>
      <c r="B14" s="22" t="str">
        <f ca="1">'Cement Volumes &amp; Prices'!$S$3</f>
        <v>RECALC_0_536_</v>
      </c>
      <c r="C14" s="19" t="str">
        <f ca="1">_xll.DBRW($A$1,$A$2,C$9,$B14,$A13,$A14,'Cement Volumes &amp; Prices'!$O$3,$A$4,$A15)</f>
        <v>RECALC_1_637_</v>
      </c>
      <c r="D14" s="19" t="str">
        <f ca="1">_xll.DBRW($A$1,$A$2,D$9,$B14,$A13,$A14,'Cement Volumes &amp; Prices'!$O$3,$A$4,$A15)</f>
        <v>RECALC_1_649_</v>
      </c>
      <c r="E14" s="19" t="str">
        <f ca="1">_xll.DBRW($A$1,$A$2,E$9,$B14,$A13,$A14,'Cement Volumes &amp; Prices'!$O$3,$A$4,$A15)</f>
        <v>RECALC_1_608_</v>
      </c>
      <c r="F14" s="19" t="str">
        <f ca="1">_xll.DBRW($A$1,$A$2,F$9,$B14,$A13,$A14,'Cement Volumes &amp; Prices'!$O$3,$A$4,$A15)</f>
        <v>RECALC_1_673_</v>
      </c>
      <c r="G14" s="19" t="str">
        <f ca="1">_xll.DBRW($A$1,$A$2,G$9,$B14,$A13,$A14,'Cement Volumes &amp; Prices'!$O$3,$A$4,$A15)</f>
        <v>RECALC_1_773_</v>
      </c>
      <c r="H14" s="19" t="str">
        <f ca="1">_xll.DBRW($A$1,$A$2,H$9,$B14,$A13,$A14,'Cement Volumes &amp; Prices'!$O$3,$A$4,$A15)</f>
        <v>RECALC_1_703_</v>
      </c>
      <c r="I14" s="19" t="str">
        <f ca="1">_xll.DBRW($A$1,$A$2,I$9,$B14,$A13,$A14,'Cement Volumes &amp; Prices'!$O$3,$A$4,$A15)</f>
        <v>RECALC_1_716_</v>
      </c>
      <c r="J14" s="19" t="str">
        <f ca="1">_xll.DBRW($A$1,$A$2,J$9,$B14,$A13,$A14,'Cement Volumes &amp; Prices'!$O$3,$A$4,$A15)</f>
        <v>RECALC_1_725_</v>
      </c>
      <c r="K14" s="19" t="str">
        <f ca="1">_xll.DBRW($A$1,$A$2,K$9,$B14,$A13,$A14,'Cement Volumes &amp; Prices'!$O$3,$A$4,$A15)</f>
        <v>RECALC_1_600_</v>
      </c>
      <c r="L14" s="19" t="str">
        <f ca="1">_xll.DBRW($A$1,$A$2,L$9,$B14,$A13,$A14,'Cement Volumes &amp; Prices'!$O$3,$A$4,$A15)</f>
        <v>RECALC_1_728_</v>
      </c>
      <c r="M14" s="19" t="str">
        <f ca="1">_xll.DBRW($A$1,$A$2,M$9,$B14,$A13,$A14,'Cement Volumes &amp; Prices'!$O$3,$A$4,$A15)</f>
        <v>RECALC_1_668_</v>
      </c>
      <c r="N14" s="19" t="str">
        <f ca="1">_xll.DBRW($A$1,$A$2,N$9,$B14,$A13,$A14,'Cement Volumes &amp; Prices'!$O$3,$A$4,$A15)</f>
        <v>RECALC_1_664_</v>
      </c>
    </row>
    <row r="15" spans="1:14">
      <c r="A15" t="str">
        <f ca="1">_xll.SUBNM("CONS_VC:REV.M.100.Revenue_Consolidated","Default","Sales Volume [kt]")</f>
        <v>RECALC_0_562_</v>
      </c>
      <c r="B15" s="22" t="str">
        <f ca="1">'Cement Volumes &amp; Prices'!$U$3</f>
        <v>RECALC_0_537_</v>
      </c>
      <c r="C15" s="19" t="str">
        <f ca="1">_xll.DBRW($A$1,$A$2,C$9,$B15,$A13,$A14,'Cement Volumes &amp; Prices'!$O$3,$A$4,$A15)</f>
        <v>RECALC_1_782_</v>
      </c>
      <c r="D15" s="19" t="str">
        <f ca="1">_xll.DBRW($A$1,$A$2,D$9,$B15,$A13,$A14,'Cement Volumes &amp; Prices'!$O$3,$A$4,$A15)</f>
        <v>RECALC_1_635_</v>
      </c>
      <c r="E15" s="19" t="str">
        <f ca="1">_xll.DBRW($A$1,$A$2,E$9,$B15,$A13,$A14,'Cement Volumes &amp; Prices'!$O$3,$A$4,$A15)</f>
        <v>RECALC_1_619_</v>
      </c>
      <c r="F15" s="19" t="str">
        <f ca="1">_xll.DBRW($A$1,$A$2,F$9,$B15,$A13,$A14,'Cement Volumes &amp; Prices'!$O$3,$A$4,$A15)</f>
        <v>RECALC_1_625_</v>
      </c>
      <c r="G15" s="19" t="str">
        <f ca="1">_xll.DBRW($A$1,$A$2,G$9,$B15,$A13,$A14,'Cement Volumes &amp; Prices'!$O$3,$A$4,$A15)</f>
        <v>RECALC_1_790_</v>
      </c>
      <c r="H15" s="19" t="str">
        <f ca="1">_xll.DBRW($A$1,$A$2,H$9,$B15,$A13,$A14,'Cement Volumes &amp; Prices'!$O$3,$A$4,$A15)</f>
        <v>RECALC_1_661_</v>
      </c>
      <c r="I15" s="19" t="str">
        <f ca="1">_xll.DBRW($A$1,$A$2,I$9,$B15,$A13,$A14,'Cement Volumes &amp; Prices'!$O$3,$A$4,$A15)</f>
        <v>RECALC_1_607_</v>
      </c>
      <c r="J15" s="19" t="str">
        <f ca="1">_xll.DBRW($A$1,$A$2,J$9,$B15,$A13,$A14,'Cement Volumes &amp; Prices'!$O$3,$A$4,$A15)</f>
        <v>RECALC_1_756_</v>
      </c>
      <c r="K15" s="19" t="str">
        <f ca="1">_xll.DBRW($A$1,$A$2,K$9,$B15,$A13,$A14,'Cement Volumes &amp; Prices'!$O$3,$A$4,$A15)</f>
        <v>RECALC_1_775_</v>
      </c>
      <c r="L15" s="19" t="str">
        <f ca="1">_xll.DBRW($A$1,$A$2,L$9,$B15,$A13,$A14,'Cement Volumes &amp; Prices'!$O$3,$A$4,$A15)</f>
        <v>RECALC_1_788_</v>
      </c>
      <c r="M15" s="19" t="str">
        <f ca="1">_xll.DBRW($A$1,$A$2,M$9,$B15,$A13,$A14,'Cement Volumes &amp; Prices'!$O$3,$A$4,$A15)</f>
        <v>RECALC_1_659_</v>
      </c>
      <c r="N15" s="19" t="str">
        <f ca="1">_xll.DBRW($A$1,$A$2,N$9,$B15,$A13,$A14,'Cement Volumes &amp; Prices'!$O$3,$A$4,$A15)</f>
        <v>RECALC_1_626_</v>
      </c>
    </row>
    <row r="17" spans="1:14" ht="15" thickBot="1">
      <c r="A17" t="str">
        <f ca="1">_xll.SUBNM("CONS_VC:ALL.D.Currency","Default","EUR","MEMBER_NAME")</f>
        <v>RECALC_0_574_</v>
      </c>
      <c r="B17" s="21"/>
      <c r="C17" s="26" t="s">
        <v>44</v>
      </c>
      <c r="D17" s="26" t="s">
        <v>46</v>
      </c>
      <c r="E17" s="26" t="s">
        <v>45</v>
      </c>
      <c r="F17" s="26" t="s">
        <v>47</v>
      </c>
      <c r="G17" s="26" t="s">
        <v>48</v>
      </c>
      <c r="H17" s="26" t="s">
        <v>49</v>
      </c>
      <c r="I17" s="26" t="s">
        <v>55</v>
      </c>
      <c r="J17" s="26" t="s">
        <v>50</v>
      </c>
      <c r="K17" s="26" t="s">
        <v>51</v>
      </c>
      <c r="L17" s="26" t="s">
        <v>52</v>
      </c>
      <c r="M17" s="26" t="s">
        <v>53</v>
      </c>
      <c r="N17" s="26" t="s">
        <v>54</v>
      </c>
    </row>
    <row r="18" spans="1:14">
      <c r="A18" t="str">
        <f ca="1">_xll.SUBNM("CONS_VC:ALL.D.Region","Default","VCEAA","MEMBER_NAME")</f>
        <v>RECALC_0_579_</v>
      </c>
      <c r="B18" s="22" t="str">
        <f ca="1">'Cement Volumes &amp; Prices'!$S$3</f>
        <v>RECALC_0_536_</v>
      </c>
      <c r="C18" s="19" t="str">
        <f ca="1">_xll.DBRW($A$1,$A$2,C$9,$B18,$A17,$A18,'Cement Volumes &amp; Prices'!$O$3,$A$4,$A19)</f>
        <v>RECALC_1_692_</v>
      </c>
      <c r="D18" s="19" t="str">
        <f ca="1">_xll.DBRW($A$1,$A$2,D$9,$B18,$A17,$A18,'Cement Volumes &amp; Prices'!$O$3,$A$4,$A19)</f>
        <v>RECALC_1_613_</v>
      </c>
      <c r="E18" s="19" t="str">
        <f ca="1">_xll.DBRW($A$1,$A$2,E$9,$B18,$A17,$A18,'Cement Volumes &amp; Prices'!$O$3,$A$4,$A19)</f>
        <v>RECALC_1_786_</v>
      </c>
      <c r="F18" s="19" t="str">
        <f ca="1">_xll.DBRW($A$1,$A$2,F$9,$B18,$A17,$A18,'Cement Volumes &amp; Prices'!$O$3,$A$4,$A19)</f>
        <v>RECALC_1_776_</v>
      </c>
      <c r="G18" s="19" t="str">
        <f ca="1">_xll.DBRW($A$1,$A$2,G$9,$B18,$A17,$A18,'Cement Volumes &amp; Prices'!$O$3,$A$4,$A19)</f>
        <v>RECALC_1_685_</v>
      </c>
      <c r="H18" s="19" t="str">
        <f ca="1">_xll.DBRW($A$1,$A$2,H$9,$B18,$A17,$A18,'Cement Volumes &amp; Prices'!$O$3,$A$4,$A19)</f>
        <v>RECALC_1_766_</v>
      </c>
      <c r="I18" s="19" t="str">
        <f ca="1">_xll.DBRW($A$1,$A$2,I$9,$B18,$A17,$A18,'Cement Volumes &amp; Prices'!$O$3,$A$4,$A19)</f>
        <v>RECALC_1_609_</v>
      </c>
      <c r="J18" s="19" t="str">
        <f ca="1">_xll.DBRW($A$1,$A$2,J$9,$B18,$A17,$A18,'Cement Volumes &amp; Prices'!$O$3,$A$4,$A19)</f>
        <v>RECALC_1_754_</v>
      </c>
      <c r="K18" s="19" t="str">
        <f ca="1">_xll.DBRW($A$1,$A$2,K$9,$B18,$A17,$A18,'Cement Volumes &amp; Prices'!$O$3,$A$4,$A19)</f>
        <v>RECALC_1_729_</v>
      </c>
      <c r="L18" s="19" t="str">
        <f ca="1">_xll.DBRW($A$1,$A$2,L$9,$B18,$A17,$A18,'Cement Volumes &amp; Prices'!$O$3,$A$4,$A19)</f>
        <v>RECALC_1_712_</v>
      </c>
      <c r="M18" s="19" t="str">
        <f ca="1">_xll.DBRW($A$1,$A$2,M$9,$B18,$A17,$A18,'Cement Volumes &amp; Prices'!$O$3,$A$4,$A19)</f>
        <v>RECALC_1_735_</v>
      </c>
      <c r="N18" s="19" t="str">
        <f ca="1">_xll.DBRW($A$1,$A$2,N$9,$B18,$A17,$A18,'Cement Volumes &amp; Prices'!$O$3,$A$4,$A19)</f>
        <v>RECALC_1_671_</v>
      </c>
    </row>
    <row r="19" spans="1:14">
      <c r="A19" t="str">
        <f ca="1">_xll.SUBNM("CONS_VC:REV.M.100.Revenue_Consolidated","Default","Sales Volume [kt]")</f>
        <v>RECALC_0_562_</v>
      </c>
      <c r="B19" s="22" t="str">
        <f ca="1">'Cement Volumes &amp; Prices'!$U$3</f>
        <v>RECALC_0_537_</v>
      </c>
      <c r="C19" s="19" t="str">
        <f ca="1">_xll.DBRW($A$1,$A$2,C$9,$B19,$A17,$A18,'Cement Volumes &amp; Prices'!$O$3,$A$4,$A19)</f>
        <v>RECALC_1_717_</v>
      </c>
      <c r="D19" s="19" t="str">
        <f ca="1">_xll.DBRW($A$1,$A$2,D$9,$B19,$A17,$A18,'Cement Volumes &amp; Prices'!$O$3,$A$4,$A19)</f>
        <v>RECALC_1_760_</v>
      </c>
      <c r="E19" s="19" t="str">
        <f ca="1">_xll.DBRW($A$1,$A$2,E$9,$B19,$A17,$A18,'Cement Volumes &amp; Prices'!$O$3,$A$4,$A19)</f>
        <v>RECALC_1_615_</v>
      </c>
      <c r="F19" s="19" t="str">
        <f ca="1">_xll.DBRW($A$1,$A$2,F$9,$B19,$A17,$A18,'Cement Volumes &amp; Prices'!$O$3,$A$4,$A19)</f>
        <v>RECALC_1_702_</v>
      </c>
      <c r="G19" s="19" t="str">
        <f ca="1">_xll.DBRW($A$1,$A$2,G$9,$B19,$A17,$A18,'Cement Volumes &amp; Prices'!$O$3,$A$4,$A19)</f>
        <v>RECALC_1_696_</v>
      </c>
      <c r="H19" s="19" t="str">
        <f ca="1">_xll.DBRW($A$1,$A$2,H$9,$B19,$A17,$A18,'Cement Volumes &amp; Prices'!$O$3,$A$4,$A19)</f>
        <v>RECALC_1_745_</v>
      </c>
      <c r="I19" s="19" t="str">
        <f ca="1">_xll.DBRW($A$1,$A$2,I$9,$B19,$A17,$A18,'Cement Volumes &amp; Prices'!$O$3,$A$4,$A19)</f>
        <v>RECALC_1_670_</v>
      </c>
      <c r="J19" s="19" t="str">
        <f ca="1">_xll.DBRW($A$1,$A$2,J$9,$B19,$A17,$A18,'Cement Volumes &amp; Prices'!$O$3,$A$4,$A19)</f>
        <v>RECALC_1_709_</v>
      </c>
      <c r="K19" s="19" t="str">
        <f ca="1">_xll.DBRW($A$1,$A$2,K$9,$B19,$A17,$A18,'Cement Volumes &amp; Prices'!$O$3,$A$4,$A19)</f>
        <v>RECALC_1_780_</v>
      </c>
      <c r="L19" s="19" t="str">
        <f ca="1">_xll.DBRW($A$1,$A$2,L$9,$B19,$A17,$A18,'Cement Volumes &amp; Prices'!$O$3,$A$4,$A19)</f>
        <v>RECALC_1_641_</v>
      </c>
      <c r="M19" s="19" t="str">
        <f ca="1">_xll.DBRW($A$1,$A$2,M$9,$B19,$A17,$A18,'Cement Volumes &amp; Prices'!$O$3,$A$4,$A19)</f>
        <v>RECALC_1_772_</v>
      </c>
      <c r="N19" s="19" t="str">
        <f ca="1">_xll.DBRW($A$1,$A$2,N$9,$B19,$A17,$A18,'Cement Volumes &amp; Prices'!$O$3,$A$4,$A19)</f>
        <v>RECALC_1_737_</v>
      </c>
    </row>
    <row r="21" spans="1:14" ht="15" thickBot="1">
      <c r="A21" t="str">
        <f ca="1">_xll.SUBNM("CONS_VC:ALL.D.Currency","Default","USD","MEMBER_NAME")</f>
        <v>RECALC_0_561_</v>
      </c>
      <c r="B21" s="21"/>
      <c r="C21" s="26" t="s">
        <v>44</v>
      </c>
      <c r="D21" s="26" t="s">
        <v>46</v>
      </c>
      <c r="E21" s="26" t="s">
        <v>45</v>
      </c>
      <c r="F21" s="26" t="s">
        <v>47</v>
      </c>
      <c r="G21" s="26" t="s">
        <v>48</v>
      </c>
      <c r="H21" s="26" t="s">
        <v>49</v>
      </c>
      <c r="I21" s="26" t="s">
        <v>55</v>
      </c>
      <c r="J21" s="26" t="s">
        <v>50</v>
      </c>
      <c r="K21" s="26" t="s">
        <v>51</v>
      </c>
      <c r="L21" s="26" t="s">
        <v>52</v>
      </c>
      <c r="M21" s="26" t="s">
        <v>53</v>
      </c>
      <c r="N21" s="26" t="s">
        <v>54</v>
      </c>
    </row>
    <row r="22" spans="1:14">
      <c r="A22" t="str">
        <f ca="1">_xll.SUBNM("CONS_VC:ALL.D.Region","Default","VCLATAM Incl. AVEL","MEMBER_NAME")</f>
        <v>RECALC_0_580_</v>
      </c>
      <c r="B22" s="22" t="str">
        <f ca="1">'Cement Volumes &amp; Prices'!$S$3</f>
        <v>RECALC_0_536_</v>
      </c>
      <c r="C22" s="19" t="str">
        <f ca="1">_xll.DBRW($A$1,$A$2,C$9,$B22,$A21,$A22,'Cement Volumes &amp; Prices'!$O$3,$A$4,$A23)</f>
        <v>RECALC_1_629_</v>
      </c>
      <c r="D22" s="19" t="str">
        <f ca="1">_xll.DBRW($A$1,$A$2,D$9,$B22,$A21,$A22,'Cement Volumes &amp; Prices'!$O$3,$A$4,$A23)</f>
        <v>RECALC_1_656_</v>
      </c>
      <c r="E22" s="19" t="str">
        <f ca="1">_xll.DBRW($A$1,$A$2,E$9,$B22,$A21,$A22,'Cement Volumes &amp; Prices'!$O$3,$A$4,$A23)</f>
        <v>RECALC_1_686_</v>
      </c>
      <c r="F22" s="19" t="str">
        <f ca="1">_xll.DBRW($A$1,$A$2,F$9,$B22,$A21,$A22,'Cement Volumes &amp; Prices'!$O$3,$A$4,$A23)</f>
        <v>RECALC_1_774_</v>
      </c>
      <c r="G22" s="19" t="str">
        <f ca="1">_xll.DBRW($A$1,$A$2,G$9,$B22,$A21,$A22,'Cement Volumes &amp; Prices'!$O$3,$A$4,$A23)</f>
        <v>RECALC_1_699_</v>
      </c>
      <c r="H22" s="19" t="str">
        <f ca="1">_xll.DBRW($A$1,$A$2,H$9,$B22,$A21,$A22,'Cement Volumes &amp; Prices'!$O$3,$A$4,$A23)</f>
        <v>RECALC_1_603_</v>
      </c>
      <c r="I22" s="19" t="str">
        <f ca="1">_xll.DBRW($A$1,$A$2,I$9,$B22,$A21,$A22,'Cement Volumes &amp; Prices'!$O$3,$A$4,$A23)</f>
        <v>RECALC_1_672_</v>
      </c>
      <c r="J22" s="19" t="str">
        <f ca="1">_xll.DBRW($A$1,$A$2,J$9,$B22,$A21,$A22,'Cement Volumes &amp; Prices'!$O$3,$A$4,$A23)</f>
        <v>RECALC_1_761_</v>
      </c>
      <c r="K22" s="19" t="str">
        <f ca="1">_xll.DBRW($A$1,$A$2,K$9,$B22,$A21,$A22,'Cement Volumes &amp; Prices'!$O$3,$A$4,$A23)</f>
        <v>RECALC_1_620_</v>
      </c>
      <c r="L22" s="19" t="str">
        <f ca="1">_xll.DBRW($A$1,$A$2,L$9,$B22,$A21,$A22,'Cement Volumes &amp; Prices'!$O$3,$A$4,$A23)</f>
        <v>RECALC_1_769_</v>
      </c>
      <c r="M22" s="19" t="str">
        <f ca="1">_xll.DBRW($A$1,$A$2,M$9,$B22,$A21,$A22,'Cement Volumes &amp; Prices'!$O$3,$A$4,$A23)</f>
        <v>RECALC_1_684_</v>
      </c>
      <c r="N22" s="19" t="str">
        <f ca="1">_xll.DBRW($A$1,$A$2,N$9,$B22,$A21,$A22,'Cement Volumes &amp; Prices'!$O$3,$A$4,$A23)</f>
        <v>RECALC_1_679_</v>
      </c>
    </row>
    <row r="23" spans="1:14">
      <c r="A23" t="str">
        <f ca="1">_xll.SUBNM("CONS_VC:REV.M.100.Revenue_Consolidated","Default","Sales Volume [kt]")</f>
        <v>RECALC_0_562_</v>
      </c>
      <c r="B23" s="22" t="str">
        <f ca="1">'Cement Volumes &amp; Prices'!$U$3</f>
        <v>RECALC_0_537_</v>
      </c>
      <c r="C23" s="19" t="str">
        <f ca="1">_xll.DBRW($A$1,$A$2,C$9,$B23,$A21,$A22,'Cement Volumes &amp; Prices'!$O$3,$A$4,$A23)</f>
        <v>RECALC_1_689_</v>
      </c>
      <c r="D23" s="19" t="str">
        <f ca="1">_xll.DBRW($A$1,$A$2,D$9,$B23,$A21,$A22,'Cement Volumes &amp; Prices'!$O$3,$A$4,$A23)</f>
        <v>RECALC_1_648_</v>
      </c>
      <c r="E23" s="19" t="str">
        <f ca="1">_xll.DBRW($A$1,$A$2,E$9,$B23,$A21,$A22,'Cement Volumes &amp; Prices'!$O$3,$A$4,$A23)</f>
        <v>RECALC_1_680_</v>
      </c>
      <c r="F23" s="19" t="str">
        <f ca="1">_xll.DBRW($A$1,$A$2,F$9,$B23,$A21,$A22,'Cement Volumes &amp; Prices'!$O$3,$A$4,$A23)</f>
        <v>RECALC_1_750_</v>
      </c>
      <c r="G23" s="19" t="str">
        <f ca="1">_xll.DBRW($A$1,$A$2,G$9,$B23,$A21,$A22,'Cement Volumes &amp; Prices'!$O$3,$A$4,$A23)</f>
        <v>RECALC_1_767_</v>
      </c>
      <c r="H23" s="19" t="str">
        <f ca="1">_xll.DBRW($A$1,$A$2,H$9,$B23,$A21,$A22,'Cement Volumes &amp; Prices'!$O$3,$A$4,$A23)</f>
        <v>RECALC_1_683_</v>
      </c>
      <c r="I23" s="19" t="str">
        <f ca="1">_xll.DBRW($A$1,$A$2,I$9,$B23,$A21,$A22,'Cement Volumes &amp; Prices'!$O$3,$A$4,$A23)</f>
        <v>RECALC_1_688_</v>
      </c>
      <c r="J23" s="19" t="str">
        <f ca="1">_xll.DBRW($A$1,$A$2,J$9,$B23,$A21,$A22,'Cement Volumes &amp; Prices'!$O$3,$A$4,$A23)</f>
        <v>RECALC_1_610_</v>
      </c>
      <c r="K23" s="19" t="str">
        <f ca="1">_xll.DBRW($A$1,$A$2,K$9,$B23,$A21,$A22,'Cement Volumes &amp; Prices'!$O$3,$A$4,$A23)</f>
        <v>RECALC_1_738_</v>
      </c>
      <c r="L23" s="19" t="str">
        <f ca="1">_xll.DBRW($A$1,$A$2,L$9,$B23,$A21,$A22,'Cement Volumes &amp; Prices'!$O$3,$A$4,$A23)</f>
        <v>RECALC_1_599_</v>
      </c>
      <c r="M23" s="19" t="str">
        <f ca="1">_xll.DBRW($A$1,$A$2,M$9,$B23,$A21,$A22,'Cement Volumes &amp; Prices'!$O$3,$A$4,$A23)</f>
        <v>RECALC_1_697_</v>
      </c>
      <c r="N23" s="19" t="str">
        <f ca="1">_xll.DBRW($A$1,$A$2,N$9,$B23,$A21,$A22,'Cement Volumes &amp; Prices'!$O$3,$A$4,$A23)</f>
        <v>RECALC_1_759_</v>
      </c>
    </row>
    <row r="26" spans="1:14" ht="15" thickBot="1">
      <c r="A26" t="str">
        <f ca="1">_xll.SUBNM("CONS_VC:ALL.D.Currency","Default","BRL","MEMBER_NAME")</f>
        <v>RECALC_0_33_</v>
      </c>
      <c r="B26" s="21"/>
      <c r="C26" s="20" t="s">
        <v>44</v>
      </c>
      <c r="D26" s="20" t="s">
        <v>46</v>
      </c>
      <c r="E26" s="20" t="s">
        <v>45</v>
      </c>
      <c r="F26" s="20" t="s">
        <v>47</v>
      </c>
      <c r="G26" s="20" t="s">
        <v>48</v>
      </c>
      <c r="H26" s="20" t="s">
        <v>49</v>
      </c>
      <c r="I26" s="20" t="s">
        <v>55</v>
      </c>
      <c r="J26" s="20" t="s">
        <v>50</v>
      </c>
      <c r="K26" s="20" t="s">
        <v>51</v>
      </c>
      <c r="L26" s="20" t="s">
        <v>52</v>
      </c>
      <c r="M26" s="20" t="s">
        <v>53</v>
      </c>
      <c r="N26" s="20" t="s">
        <v>54</v>
      </c>
    </row>
    <row r="27" spans="1:14">
      <c r="A27" t="str">
        <f ca="1">_xll.SUBNM("CONS_VC:ALL.D.Region","Default","VCBR","MEMBER_NAME")</f>
        <v>RECALC_0_577_</v>
      </c>
      <c r="B27" s="22" t="str">
        <f ca="1">'Cement Volumes &amp; Prices'!$S$3</f>
        <v>RECALC_0_536_</v>
      </c>
      <c r="C27" s="19" t="str">
        <f ca="1">_xll.DBRW($A$1,$A$2,C$9,$B27,$A26,$A27,'Cement Volumes &amp; Prices'!$O$3,$A$4,$A28)</f>
        <v>RECALC_1_701_</v>
      </c>
      <c r="D27" s="19" t="str">
        <f ca="1">_xll.DBRW($A$1,$A$2,D$9,$B27,$A26,$A27,'Cement Volumes &amp; Prices'!$O$3,$A$4,$A28)</f>
        <v>RECALC_1_618_</v>
      </c>
      <c r="E27" s="19" t="str">
        <f ca="1">_xll.DBRW($A$1,$A$2,E$9,$B27,$A26,$A27,'Cement Volumes &amp; Prices'!$O$3,$A$4,$A28)</f>
        <v>RECALC_1_634_</v>
      </c>
      <c r="F27" s="19" t="str">
        <f ca="1">_xll.DBRW($A$1,$A$2,F$9,$B27,$A26,$A27,'Cement Volumes &amp; Prices'!$O$3,$A$4,$A28)</f>
        <v>RECALC_1_650_</v>
      </c>
      <c r="G27" s="19" t="str">
        <f ca="1">_xll.DBRW($A$1,$A$2,G$9,$B27,$A26,$A27,'Cement Volumes &amp; Prices'!$O$3,$A$4,$A28)</f>
        <v>RECALC_1_640_</v>
      </c>
      <c r="H27" s="19" t="str">
        <f ca="1">_xll.DBRW($A$1,$A$2,H$9,$B27,$A26,$A27,'Cement Volumes &amp; Prices'!$O$3,$A$4,$A28)</f>
        <v>RECALC_1_605_</v>
      </c>
      <c r="I27" s="19" t="str">
        <f ca="1">_xll.DBRW($A$1,$A$2,I$9,$B27,$A26,$A27,'Cement Volumes &amp; Prices'!$O$3,$A$4,$A28)</f>
        <v>RECALC_1_739_</v>
      </c>
      <c r="J27" s="19" t="str">
        <f ca="1">_xll.DBRW($A$1,$A$2,J$9,$B27,$A26,$A27,'Cement Volumes &amp; Prices'!$O$3,$A$4,$A28)</f>
        <v>RECALC_1_744_</v>
      </c>
      <c r="K27" s="19" t="str">
        <f ca="1">_xll.DBRW($A$1,$A$2,K$9,$B27,$A26,$A27,'Cement Volumes &amp; Prices'!$O$3,$A$4,$A28)</f>
        <v>RECALC_1_746_</v>
      </c>
      <c r="L27" s="19" t="str">
        <f ca="1">_xll.DBRW($A$1,$A$2,L$9,$B27,$A26,$A27,'Cement Volumes &amp; Prices'!$O$3,$A$4,$A28)</f>
        <v>RECALC_1_704_</v>
      </c>
      <c r="M27" s="19" t="str">
        <f ca="1">_xll.DBRW($A$1,$A$2,M$9,$B27,$A26,$A27,'Cement Volumes &amp; Prices'!$O$3,$A$4,$A28)</f>
        <v>RECALC_1_736_</v>
      </c>
      <c r="N27" s="19" t="str">
        <f ca="1">_xll.DBRW($A$1,$A$2,N$9,$B27,$A26,$A27,'Cement Volumes &amp; Prices'!$O$3,$A$4,$A28)</f>
        <v>RECALC_1_700_</v>
      </c>
    </row>
    <row r="28" spans="1:14">
      <c r="A28" t="str">
        <f ca="1">_xll.SUBNM("CONS_VC:REV.M.100.Revenue_Consolidated","Default","Price Premium [$/ton]")</f>
        <v>RECALC_0_560_</v>
      </c>
      <c r="B28" s="22" t="str">
        <f ca="1">'Cement Volumes &amp; Prices'!$U$3</f>
        <v>RECALC_0_537_</v>
      </c>
      <c r="C28" s="19" t="str">
        <f ca="1">_xll.DBRW($A$1,$A$2,C$9,$B28,$A26,$A27,'Cement Volumes &amp; Prices'!$O$3,$A$4,$A28)</f>
        <v>RECALC_1_636_</v>
      </c>
      <c r="D28" s="19" t="str">
        <f ca="1">_xll.DBRW($A$1,$A$2,D$9,$B28,$A26,$A27,'Cement Volumes &amp; Prices'!$O$3,$A$4,$A28)</f>
        <v>RECALC_1_644_</v>
      </c>
      <c r="E28" s="19" t="str">
        <f ca="1">_xll.DBRW($A$1,$A$2,E$9,$B28,$A26,$A27,'Cement Volumes &amp; Prices'!$O$3,$A$4,$A28)</f>
        <v>RECALC_1_713_</v>
      </c>
      <c r="F28" s="19" t="str">
        <f ca="1">_xll.DBRW($A$1,$A$2,F$9,$B28,$A26,$A27,'Cement Volumes &amp; Prices'!$O$3,$A$4,$A28)</f>
        <v>RECALC_1_715_</v>
      </c>
      <c r="G28" s="19" t="str">
        <f ca="1">_xll.DBRW($A$1,$A$2,G$9,$B28,$A26,$A27,'Cement Volumes &amp; Prices'!$O$3,$A$4,$A28)</f>
        <v>RECALC_1_655_</v>
      </c>
      <c r="H28" s="19" t="str">
        <f ca="1">_xll.DBRW($A$1,$A$2,H$9,$B28,$A26,$A27,'Cement Volumes &amp; Prices'!$O$3,$A$4,$A28)</f>
        <v>RECALC_1_617_</v>
      </c>
      <c r="I28" s="19" t="str">
        <f ca="1">_xll.DBRW($A$1,$A$2,I$9,$B28,$A26,$A27,'Cement Volumes &amp; Prices'!$O$3,$A$4,$A28)</f>
        <v>RECALC_1_752_</v>
      </c>
      <c r="J28" s="19" t="str">
        <f ca="1">_xll.DBRW($A$1,$A$2,J$9,$B28,$A26,$A27,'Cement Volumes &amp; Prices'!$O$3,$A$4,$A28)</f>
        <v>RECALC_1_678_</v>
      </c>
      <c r="K28" s="19" t="str">
        <f ca="1">_xll.DBRW($A$1,$A$2,K$9,$B28,$A26,$A27,'Cement Volumes &amp; Prices'!$O$3,$A$4,$A28)</f>
        <v>RECALC_1_706_</v>
      </c>
      <c r="L28" s="19" t="str">
        <f ca="1">_xll.DBRW($A$1,$A$2,L$9,$B28,$A26,$A27,'Cement Volumes &amp; Prices'!$O$3,$A$4,$A28)</f>
        <v>RECALC_1_724_</v>
      </c>
      <c r="M28" s="19" t="str">
        <f ca="1">_xll.DBRW($A$1,$A$2,M$9,$B28,$A26,$A27,'Cement Volumes &amp; Prices'!$O$3,$A$4,$A28)</f>
        <v>RECALC_1_674_</v>
      </c>
      <c r="N28" s="19" t="str">
        <f ca="1">_xll.DBRW($A$1,$A$2,N$9,$B28,$A26,$A27,'Cement Volumes &amp; Prices'!$O$3,$A$4,$A28)</f>
        <v>RECALC_1_770_</v>
      </c>
    </row>
    <row r="30" spans="1:14" ht="15" thickBot="1">
      <c r="A30" t="str">
        <f ca="1">_xll.SUBNM("CONS_VC:ALL.D.Currency","Default","USD","MEMBER_NAME")</f>
        <v>RECALC_0_561_</v>
      </c>
      <c r="B30" s="21"/>
      <c r="C30" s="20" t="s">
        <v>44</v>
      </c>
      <c r="D30" s="20" t="s">
        <v>46</v>
      </c>
      <c r="E30" s="20" t="s">
        <v>45</v>
      </c>
      <c r="F30" s="20" t="s">
        <v>47</v>
      </c>
      <c r="G30" s="20" t="s">
        <v>48</v>
      </c>
      <c r="H30" s="20" t="s">
        <v>49</v>
      </c>
      <c r="I30" s="20" t="s">
        <v>55</v>
      </c>
      <c r="J30" s="20" t="s">
        <v>50</v>
      </c>
      <c r="K30" s="20" t="s">
        <v>51</v>
      </c>
      <c r="L30" s="20" t="s">
        <v>52</v>
      </c>
      <c r="M30" s="20" t="s">
        <v>53</v>
      </c>
      <c r="N30" s="20" t="s">
        <v>54</v>
      </c>
    </row>
    <row r="31" spans="1:14">
      <c r="A31" t="str">
        <f ca="1">_xll.SUBNM("CONS_VC:ALL.D.Region","Default","VCNA","MEMBER_NAME")</f>
        <v>RECALC_0_571_</v>
      </c>
      <c r="B31" s="22" t="str">
        <f ca="1">'Cement Volumes &amp; Prices'!$S$3</f>
        <v>RECALC_0_536_</v>
      </c>
      <c r="C31" s="19" t="str">
        <f ca="1">_xll.DBRW($A$1,$A$2,C$9,$B31,$A30,$A31,'Cement Volumes &amp; Prices'!$O$3,$A$4,$A32)</f>
        <v>RECALC_1_708_</v>
      </c>
      <c r="D31" s="19" t="str">
        <f ca="1">_xll.DBRW($A$1,$A$2,D$9,$B31,$A30,$A31,'Cement Volumes &amp; Prices'!$O$3,$A$4,$A32)</f>
        <v>RECALC_1_720_</v>
      </c>
      <c r="E31" s="19" t="str">
        <f ca="1">_xll.DBRW($A$1,$A$2,E$9,$B31,$A30,$A31,'Cement Volumes &amp; Prices'!$O$3,$A$4,$A32)</f>
        <v>RECALC_1_694_</v>
      </c>
      <c r="F31" s="19" t="str">
        <f ca="1">_xll.DBRW($A$1,$A$2,F$9,$B31,$A30,$A31,'Cement Volumes &amp; Prices'!$O$3,$A$4,$A32)</f>
        <v>RECALC_1_657_</v>
      </c>
      <c r="G31" s="19" t="str">
        <f ca="1">_xll.DBRW($A$1,$A$2,G$9,$B31,$A30,$A31,'Cement Volumes &amp; Prices'!$O$3,$A$4,$A32)</f>
        <v>RECALC_1_633_</v>
      </c>
      <c r="H31" s="19" t="str">
        <f ca="1">_xll.DBRW($A$1,$A$2,H$9,$B31,$A30,$A31,'Cement Volumes &amp; Prices'!$O$3,$A$4,$A32)</f>
        <v>RECALC_1_764_</v>
      </c>
      <c r="I31" s="19" t="str">
        <f ca="1">_xll.DBRW($A$1,$A$2,I$9,$B31,$A30,$A31,'Cement Volumes &amp; Prices'!$O$3,$A$4,$A32)</f>
        <v>RECALC_1_627_</v>
      </c>
      <c r="J31" s="19" t="str">
        <f ca="1">_xll.DBRW($A$1,$A$2,J$9,$B31,$A30,$A31,'Cement Volumes &amp; Prices'!$O$3,$A$4,$A32)</f>
        <v>RECALC_1_665_</v>
      </c>
      <c r="K31" s="19" t="str">
        <f ca="1">_xll.DBRW($A$1,$A$2,K$9,$B31,$A30,$A31,'Cement Volumes &amp; Prices'!$O$3,$A$4,$A32)</f>
        <v>RECALC_1_675_</v>
      </c>
      <c r="L31" s="19" t="str">
        <f ca="1">_xll.DBRW($A$1,$A$2,L$9,$B31,$A30,$A31,'Cement Volumes &amp; Prices'!$O$3,$A$4,$A32)</f>
        <v>RECALC_1_789_</v>
      </c>
      <c r="M31" s="19" t="str">
        <f ca="1">_xll.DBRW($A$1,$A$2,M$9,$B31,$A30,$A31,'Cement Volumes &amp; Prices'!$O$3,$A$4,$A32)</f>
        <v>RECALC_1_666_</v>
      </c>
      <c r="N31" s="19" t="str">
        <f ca="1">_xll.DBRW($A$1,$A$2,N$9,$B31,$A30,$A31,'Cement Volumes &amp; Prices'!$O$3,$A$4,$A32)</f>
        <v>RECALC_1_771_</v>
      </c>
    </row>
    <row r="32" spans="1:14">
      <c r="A32" s="25" t="str">
        <f ca="1">_xll.SUBNM("CONS_VC:REV.M.100.Revenue_Consolidated","Default","Price Premium [$/ton]")</f>
        <v>RECALC_0_560_</v>
      </c>
      <c r="B32" s="22" t="str">
        <f ca="1">'Cement Volumes &amp; Prices'!$U$3</f>
        <v>RECALC_0_537_</v>
      </c>
      <c r="C32" s="19" t="str">
        <f ca="1">_xll.DBRW($A$1,$A$2,C$9,$B32,$A30,$A31,'Cement Volumes &amp; Prices'!$O$3,$A$4,$A32)</f>
        <v>RECALC_1_693_</v>
      </c>
      <c r="D32" s="19" t="str">
        <f ca="1">_xll.DBRW($A$1,$A$2,D$9,$B32,$A30,$A31,'Cement Volumes &amp; Prices'!$O$3,$A$4,$A32)</f>
        <v>RECALC_1_722_</v>
      </c>
      <c r="E32" s="19" t="str">
        <f ca="1">_xll.DBRW($A$1,$A$2,E$9,$B32,$A30,$A31,'Cement Volumes &amp; Prices'!$O$3,$A$4,$A32)</f>
        <v>RECALC_1_604_</v>
      </c>
      <c r="F32" s="19" t="str">
        <f ca="1">_xll.DBRW($A$1,$A$2,F$9,$B32,$A30,$A31,'Cement Volumes &amp; Prices'!$O$3,$A$4,$A32)</f>
        <v>RECALC_1_698_</v>
      </c>
      <c r="G32" s="19" t="str">
        <f ca="1">_xll.DBRW($A$1,$A$2,G$9,$B32,$A30,$A31,'Cement Volumes &amp; Prices'!$O$3,$A$4,$A32)</f>
        <v>RECALC_1_630_</v>
      </c>
      <c r="H32" s="19" t="str">
        <f ca="1">_xll.DBRW($A$1,$A$2,H$9,$B32,$A30,$A31,'Cement Volumes &amp; Prices'!$O$3,$A$4,$A32)</f>
        <v>RECALC_1_669_</v>
      </c>
      <c r="I32" s="19" t="str">
        <f ca="1">_xll.DBRW($A$1,$A$2,I$9,$B32,$A30,$A31,'Cement Volumes &amp; Prices'!$O$3,$A$4,$A32)</f>
        <v>RECALC_1_763_</v>
      </c>
      <c r="J32" s="19" t="str">
        <f ca="1">_xll.DBRW($A$1,$A$2,J$9,$B32,$A30,$A31,'Cement Volumes &amp; Prices'!$O$3,$A$4,$A32)</f>
        <v>RECALC_1_624_</v>
      </c>
      <c r="K32" s="19" t="str">
        <f ca="1">_xll.DBRW($A$1,$A$2,K$9,$B32,$A30,$A31,'Cement Volumes &amp; Prices'!$O$3,$A$4,$A32)</f>
        <v>RECALC_1_748_</v>
      </c>
      <c r="L32" s="19" t="str">
        <f ca="1">_xll.DBRW($A$1,$A$2,L$9,$B32,$A30,$A31,'Cement Volumes &amp; Prices'!$O$3,$A$4,$A32)</f>
        <v>RECALC_1_660_</v>
      </c>
      <c r="M32" s="19" t="str">
        <f ca="1">_xll.DBRW($A$1,$A$2,M$9,$B32,$A30,$A31,'Cement Volumes &amp; Prices'!$O$3,$A$4,$A32)</f>
        <v>RECALC_1_690_</v>
      </c>
      <c r="N32" s="19" t="str">
        <f ca="1">_xll.DBRW($A$1,$A$2,N$9,$B32,$A30,$A31,'Cement Volumes &amp; Prices'!$O$3,$A$4,$A32)</f>
        <v>RECALC_1_781_</v>
      </c>
    </row>
    <row r="34" spans="1:14" ht="15" thickBot="1">
      <c r="A34" t="str">
        <f ca="1">_xll.SUBNM("CONS_VC:ALL.D.Currency","Default","EUR","MEMBER_NAME")</f>
        <v>RECALC_0_574_</v>
      </c>
      <c r="B34" s="21"/>
      <c r="C34" s="26" t="s">
        <v>44</v>
      </c>
      <c r="D34" s="26" t="s">
        <v>46</v>
      </c>
      <c r="E34" s="26" t="s">
        <v>45</v>
      </c>
      <c r="F34" s="26" t="s">
        <v>47</v>
      </c>
      <c r="G34" s="26" t="s">
        <v>48</v>
      </c>
      <c r="H34" s="26" t="s">
        <v>49</v>
      </c>
      <c r="I34" s="26" t="s">
        <v>55</v>
      </c>
      <c r="J34" s="26" t="s">
        <v>50</v>
      </c>
      <c r="K34" s="26" t="s">
        <v>51</v>
      </c>
      <c r="L34" s="26" t="s">
        <v>52</v>
      </c>
      <c r="M34" s="26" t="s">
        <v>53</v>
      </c>
      <c r="N34" s="26" t="s">
        <v>54</v>
      </c>
    </row>
    <row r="35" spans="1:14">
      <c r="A35" t="str">
        <f ca="1">_xll.SUBNM("CONS_VC:ALL.D.Region","Default","VCEAA","MEMBER_NAME")</f>
        <v>RECALC_0_579_</v>
      </c>
      <c r="B35" s="22" t="str">
        <f ca="1">'Cement Volumes &amp; Prices'!$S$3</f>
        <v>RECALC_0_536_</v>
      </c>
      <c r="C35" s="19" t="str">
        <f ca="1">_xll.DBRW($A$1,$A$2,C$9,$B35,$A34,$A35,'Cement Volumes &amp; Prices'!$O$3,$A$4,$A36)</f>
        <v>RECALC_1_639_</v>
      </c>
      <c r="D35" s="19" t="str">
        <f ca="1">_xll.DBRW($A$1,$A$2,D$9,$B35,$A34,$A35,'Cement Volumes &amp; Prices'!$O$3,$A$4,$A36)</f>
        <v>RECALC_1_726_</v>
      </c>
      <c r="E35" s="19" t="str">
        <f ca="1">_xll.DBRW($A$1,$A$2,E$9,$B35,$A34,$A35,'Cement Volumes &amp; Prices'!$O$3,$A$4,$A36)</f>
        <v>RECALC_1_710_</v>
      </c>
      <c r="F35" s="19" t="str">
        <f ca="1">_xll.DBRW($A$1,$A$2,F$9,$B35,$A34,$A35,'Cement Volumes &amp; Prices'!$O$3,$A$4,$A36)</f>
        <v>RECALC_1_616_</v>
      </c>
      <c r="G35" s="19" t="str">
        <f ca="1">_xll.DBRW($A$1,$A$2,G$9,$B35,$A34,$A35,'Cement Volumes &amp; Prices'!$O$3,$A$4,$A36)</f>
        <v>RECALC_1_741_</v>
      </c>
      <c r="H35" s="19" t="str">
        <f ca="1">_xll.DBRW($A$1,$A$2,H$9,$B35,$A34,$A35,'Cement Volumes &amp; Prices'!$O$3,$A$4,$A36)</f>
        <v>RECALC_1_652_</v>
      </c>
      <c r="I35" s="19" t="str">
        <f ca="1">_xll.DBRW($A$1,$A$2,I$9,$B35,$A34,$A35,'Cement Volumes &amp; Prices'!$O$3,$A$4,$A36)</f>
        <v>RECALC_1_787_</v>
      </c>
      <c r="J35" s="19" t="str">
        <f ca="1">_xll.DBRW($A$1,$A$2,J$9,$B35,$A34,$A35,'Cement Volumes &amp; Prices'!$O$3,$A$4,$A36)</f>
        <v>RECALC_1_784_</v>
      </c>
      <c r="K35" s="19" t="str">
        <f ca="1">_xll.DBRW($A$1,$A$2,K$9,$B35,$A34,$A35,'Cement Volumes &amp; Prices'!$O$3,$A$4,$A36)</f>
        <v>RECALC_1_753_</v>
      </c>
      <c r="L35" s="19" t="str">
        <f ca="1">_xll.DBRW($A$1,$A$2,L$9,$B35,$A34,$A35,'Cement Volumes &amp; Prices'!$O$3,$A$4,$A36)</f>
        <v>RECALC_1_778_</v>
      </c>
      <c r="M35" s="19" t="str">
        <f ca="1">_xll.DBRW($A$1,$A$2,M$9,$B35,$A34,$A35,'Cement Volumes &amp; Prices'!$O$3,$A$4,$A36)</f>
        <v>RECALC_1_768_</v>
      </c>
      <c r="N35" s="19" t="str">
        <f ca="1">_xll.DBRW($A$1,$A$2,N$9,$B35,$A34,$A35,'Cement Volumes &amp; Prices'!$O$3,$A$4,$A36)</f>
        <v>RECALC_1_643_</v>
      </c>
    </row>
    <row r="36" spans="1:14">
      <c r="A36" s="25" t="str">
        <f ca="1">_xll.SUBNM("CONS_VC:REV.M.100.Revenue_Consolidated","Default","Price Premium [$/ton]")</f>
        <v>RECALC_0_560_</v>
      </c>
      <c r="B36" s="22" t="str">
        <f ca="1">'Cement Volumes &amp; Prices'!$U$3</f>
        <v>RECALC_0_537_</v>
      </c>
      <c r="C36" s="19" t="str">
        <f ca="1">_xll.DBRW($A$1,$A$2,C$9,$B36,$A34,$A35,'Cement Volumes &amp; Prices'!$O$3,$A$4,$A36)</f>
        <v>RECALC_1_732_</v>
      </c>
      <c r="D36" s="19" t="str">
        <f ca="1">_xll.DBRW($A$1,$A$2,D$9,$B36,$A34,$A35,'Cement Volumes &amp; Prices'!$O$3,$A$4,$A36)</f>
        <v>RECALC_1_681_</v>
      </c>
      <c r="E36" s="19" t="str">
        <f ca="1">_xll.DBRW($A$1,$A$2,E$9,$B36,$A34,$A35,'Cement Volumes &amp; Prices'!$O$3,$A$4,$A36)</f>
        <v>RECALC_1_632_</v>
      </c>
      <c r="F36" s="19" t="str">
        <f ca="1">_xll.DBRW($A$1,$A$2,F$9,$B36,$A34,$A35,'Cement Volumes &amp; Prices'!$O$3,$A$4,$A36)</f>
        <v>RECALC_1_733_</v>
      </c>
      <c r="G36" s="19" t="str">
        <f ca="1">_xll.DBRW($A$1,$A$2,G$9,$B36,$A34,$A35,'Cement Volumes &amp; Prices'!$O$3,$A$4,$A36)</f>
        <v>RECALC_1_758_</v>
      </c>
      <c r="H36" s="19" t="str">
        <f ca="1">_xll.DBRW($A$1,$A$2,H$9,$B36,$A34,$A35,'Cement Volumes &amp; Prices'!$O$3,$A$4,$A36)</f>
        <v>RECALC_1_638_</v>
      </c>
      <c r="I36" s="19" t="str">
        <f ca="1">_xll.DBRW($A$1,$A$2,I$9,$B36,$A34,$A35,'Cement Volumes &amp; Prices'!$O$3,$A$4,$A36)</f>
        <v>RECALC_1_677_</v>
      </c>
      <c r="J36" s="19" t="str">
        <f ca="1">_xll.DBRW($A$1,$A$2,J$9,$B36,$A34,$A35,'Cement Volumes &amp; Prices'!$O$3,$A$4,$A36)</f>
        <v>RECALC_1_628_</v>
      </c>
      <c r="K36" s="19" t="str">
        <f ca="1">_xll.DBRW($A$1,$A$2,K$9,$B36,$A34,$A35,'Cement Volumes &amp; Prices'!$O$3,$A$4,$A36)</f>
        <v>RECALC_1_695_</v>
      </c>
      <c r="L36" s="19" t="str">
        <f ca="1">_xll.DBRW($A$1,$A$2,L$9,$B36,$A34,$A35,'Cement Volumes &amp; Prices'!$O$3,$A$4,$A36)</f>
        <v>RECALC_1_682_</v>
      </c>
      <c r="M36" s="19" t="str">
        <f ca="1">_xll.DBRW($A$1,$A$2,M$9,$B36,$A34,$A35,'Cement Volumes &amp; Prices'!$O$3,$A$4,$A36)</f>
        <v>RECALC_1_601_</v>
      </c>
      <c r="N36" s="19" t="str">
        <f ca="1">_xll.DBRW($A$1,$A$2,N$9,$B36,$A34,$A35,'Cement Volumes &amp; Prices'!$O$3,$A$4,$A36)</f>
        <v>RECALC_1_658_</v>
      </c>
    </row>
    <row r="38" spans="1:14" ht="15" thickBot="1">
      <c r="A38" t="str">
        <f ca="1">_xll.SUBNM("CONS_VC:ALL.D.Currency","Default","USD","MEMBER_NAME")</f>
        <v>RECALC_0_561_</v>
      </c>
      <c r="B38" s="21"/>
      <c r="C38" s="26" t="s">
        <v>44</v>
      </c>
      <c r="D38" s="26" t="s">
        <v>46</v>
      </c>
      <c r="E38" s="26" t="s">
        <v>45</v>
      </c>
      <c r="F38" s="26" t="s">
        <v>47</v>
      </c>
      <c r="G38" s="26" t="s">
        <v>48</v>
      </c>
      <c r="H38" s="26" t="s">
        <v>49</v>
      </c>
      <c r="I38" s="26" t="s">
        <v>55</v>
      </c>
      <c r="J38" s="26" t="s">
        <v>50</v>
      </c>
      <c r="K38" s="26" t="s">
        <v>51</v>
      </c>
      <c r="L38" s="26" t="s">
        <v>52</v>
      </c>
      <c r="M38" s="26" t="s">
        <v>53</v>
      </c>
      <c r="N38" s="26" t="s">
        <v>54</v>
      </c>
    </row>
    <row r="39" spans="1:14">
      <c r="A39" t="str">
        <f ca="1">_xll.SUBNM("CONS_VC:ALL.D.Region","Default","VCLATAM Incl. AVEL","MEMBER_NAME")</f>
        <v>RECALC_0_580_</v>
      </c>
      <c r="B39" s="22" t="str">
        <f ca="1">'Cement Volumes &amp; Prices'!$S$3</f>
        <v>RECALC_0_536_</v>
      </c>
      <c r="C39" s="19" t="str">
        <f ca="1">_xll.DBRW($A$1,$A$2,C$9,$B39,$A38,$A39,'Cement Volumes &amp; Prices'!$O$3,$A$4,$A40)</f>
        <v>RECALC_1_642_</v>
      </c>
      <c r="D39" s="19" t="str">
        <f ca="1">_xll.DBRW($A$1,$A$2,D$9,$B39,$A38,$A39,'Cement Volumes &amp; Prices'!$O$3,$A$4,$A40)</f>
        <v>RECALC_1_718_</v>
      </c>
      <c r="E39" s="19" t="str">
        <f ca="1">_xll.DBRW($A$1,$A$2,E$9,$B39,$A38,$A39,'Cement Volumes &amp; Prices'!$O$3,$A$4,$A40)</f>
        <v>RECALC_1_676_</v>
      </c>
      <c r="F39" s="19" t="str">
        <f ca="1">_xll.DBRW($A$1,$A$2,F$9,$B39,$A38,$A39,'Cement Volumes &amp; Prices'!$O$3,$A$4,$A40)</f>
        <v>RECALC_1_777_</v>
      </c>
      <c r="G39" s="19" t="str">
        <f ca="1">_xll.DBRW($A$1,$A$2,G$9,$B39,$A38,$A39,'Cement Volumes &amp; Prices'!$O$3,$A$4,$A40)</f>
        <v>RECALC_1_765_</v>
      </c>
      <c r="H39" s="19" t="str">
        <f ca="1">_xll.DBRW($A$1,$A$2,H$9,$B39,$A38,$A39,'Cement Volumes &amp; Prices'!$O$3,$A$4,$A40)</f>
        <v>RECALC_1_740_</v>
      </c>
      <c r="I39" s="19" t="str">
        <f ca="1">_xll.DBRW($A$1,$A$2,I$9,$B39,$A38,$A39,'Cement Volumes &amp; Prices'!$O$3,$A$4,$A40)</f>
        <v>RECALC_1_667_</v>
      </c>
      <c r="J39" s="19" t="str">
        <f ca="1">_xll.DBRW($A$1,$A$2,J$9,$B39,$A38,$A39,'Cement Volumes &amp; Prices'!$O$3,$A$4,$A40)</f>
        <v>RECALC_1_727_</v>
      </c>
      <c r="K39" s="19" t="str">
        <f ca="1">_xll.DBRW($A$1,$A$2,K$9,$B39,$A38,$A39,'Cement Volumes &amp; Prices'!$O$3,$A$4,$A40)</f>
        <v>RECALC_1_623_</v>
      </c>
      <c r="L39" s="19" t="str">
        <f ca="1">_xll.DBRW($A$1,$A$2,L$9,$B39,$A38,$A39,'Cement Volumes &amp; Prices'!$O$3,$A$4,$A40)</f>
        <v>RECALC_1_707_</v>
      </c>
      <c r="M39" s="19" t="str">
        <f ca="1">_xll.DBRW($A$1,$A$2,M$9,$B39,$A38,$A39,'Cement Volumes &amp; Prices'!$O$3,$A$4,$A40)</f>
        <v>RECALC_1_606_</v>
      </c>
      <c r="N39" s="19" t="str">
        <f ca="1">_xll.DBRW($A$1,$A$2,N$9,$B39,$A38,$A39,'Cement Volumes &amp; Prices'!$O$3,$A$4,$A40)</f>
        <v>RECALC_1_654_</v>
      </c>
    </row>
    <row r="40" spans="1:14">
      <c r="A40" s="25" t="str">
        <f ca="1">_xll.SUBNM("CONS_VC:REV.M.100.Revenue_Consolidated","Default","Price Premium [$/ton]")</f>
        <v>RECALC_0_560_</v>
      </c>
      <c r="B40" s="22" t="str">
        <f ca="1">'Cement Volumes &amp; Prices'!$U$3</f>
        <v>RECALC_0_537_</v>
      </c>
      <c r="C40" s="19" t="str">
        <f ca="1">_xll.DBRW($A$1,$A$2,C$9,$B40,$A38,$A39,'Cement Volumes &amp; Prices'!$O$3,$A$4,$A40)</f>
        <v>RECALC_1_653_</v>
      </c>
      <c r="D40" s="19" t="str">
        <f ca="1">_xll.DBRW($A$1,$A$2,D$9,$B40,$A38,$A39,'Cement Volumes &amp; Prices'!$O$3,$A$4,$A40)</f>
        <v>RECALC_1_612_</v>
      </c>
      <c r="E40" s="19" t="str">
        <f ca="1">_xll.DBRW($A$1,$A$2,E$9,$B40,$A38,$A39,'Cement Volumes &amp; Prices'!$O$3,$A$4,$A40)</f>
        <v>RECALC_1_723_</v>
      </c>
      <c r="F40" s="19" t="str">
        <f ca="1">_xll.DBRW($A$1,$A$2,F$9,$B40,$A38,$A39,'Cement Volumes &amp; Prices'!$O$3,$A$4,$A40)</f>
        <v>RECALC_1_779_</v>
      </c>
      <c r="G40" s="19" t="str">
        <f ca="1">_xll.DBRW($A$1,$A$2,G$9,$B40,$A38,$A39,'Cement Volumes &amp; Prices'!$O$3,$A$4,$A40)</f>
        <v>RECALC_1_663_</v>
      </c>
      <c r="H40" s="19" t="str">
        <f ca="1">_xll.DBRW($A$1,$A$2,H$9,$B40,$A38,$A39,'Cement Volumes &amp; Prices'!$O$3,$A$4,$A40)</f>
        <v>RECALC_1_742_</v>
      </c>
      <c r="I40" s="19" t="str">
        <f ca="1">_xll.DBRW($A$1,$A$2,I$9,$B40,$A38,$A39,'Cement Volumes &amp; Prices'!$O$3,$A$4,$A40)</f>
        <v>RECALC_1_719_</v>
      </c>
      <c r="J40" s="19" t="str">
        <f ca="1">_xll.DBRW($A$1,$A$2,J$9,$B40,$A38,$A39,'Cement Volumes &amp; Prices'!$O$3,$A$4,$A40)</f>
        <v>RECALC_1_721_</v>
      </c>
      <c r="K40" s="19" t="str">
        <f ca="1">_xll.DBRW($A$1,$A$2,K$9,$B40,$A38,$A39,'Cement Volumes &amp; Prices'!$O$3,$A$4,$A40)</f>
        <v>RECALC_1_611_</v>
      </c>
      <c r="L40" s="19" t="str">
        <f ca="1">_xll.DBRW($A$1,$A$2,L$9,$B40,$A38,$A39,'Cement Volumes &amp; Prices'!$O$3,$A$4,$A40)</f>
        <v>RECALC_1_762_</v>
      </c>
      <c r="M40" s="19" t="str">
        <f ca="1">_xll.DBRW($A$1,$A$2,M$9,$B40,$A38,$A39,'Cement Volumes &amp; Prices'!$O$3,$A$4,$A40)</f>
        <v>RECALC_1_705_</v>
      </c>
      <c r="N40" s="19" t="str">
        <f ca="1">_xll.DBRW($A$1,$A$2,N$9,$B40,$A38,$A39,'Cement Volumes &amp; Prices'!$O$3,$A$4,$A40)</f>
        <v>RECALC_1_687_</v>
      </c>
    </row>
  </sheetData>
  <phoneticPr fontId="21" type="noConversion"/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358B-6A40-41E4-88FB-9D4D41672731}">
  <dimension ref="B3:W3"/>
  <sheetViews>
    <sheetView showGridLines="0" workbookViewId="0">
      <selection activeCell="AA14" sqref="AA14"/>
    </sheetView>
  </sheetViews>
  <sheetFormatPr defaultRowHeight="14.4"/>
  <sheetData>
    <row r="3" spans="2:23" ht="24.6">
      <c r="B3" s="27" t="str">
        <f ca="1">O3&amp;" Volumes &amp; Prices – Overview"</f>
        <v>RECALC_0_534_ Volumes &amp; Prices – Overview</v>
      </c>
      <c r="J3" s="62"/>
      <c r="K3" s="65" t="s">
        <v>76</v>
      </c>
      <c r="L3" s="66" t="str">
        <f ca="1">_xll.SUBNM("CONS_VC:ALL.D.Year","Sys_Picklist","2026","MEMBER_NAME")</f>
        <v>RECALC_0_531_</v>
      </c>
      <c r="M3" s="61"/>
      <c r="N3" s="64" t="s">
        <v>77</v>
      </c>
      <c r="O3" s="367" t="str">
        <f ca="1">_xll.SUBNM("CONS_VC:ALL.D.Products","default","Cement Group")</f>
        <v>RECALC_0_534_</v>
      </c>
      <c r="P3" s="367"/>
      <c r="Q3" s="367"/>
      <c r="S3" s="63" t="str">
        <f ca="1">_xll.SUBNM("CONS_VC:ALL.D.Version","Sys.Report","L300","Descrição")</f>
        <v>RECALC_0_536_</v>
      </c>
      <c r="U3" s="53" t="str">
        <f ca="1">_xll.SUBNM("CONS_VC:ALL.D.Version","Sys.Report","RF","Descrição")</f>
        <v>RECALC_0_537_</v>
      </c>
      <c r="W3" s="28"/>
    </row>
  </sheetData>
  <mergeCells count="1">
    <mergeCell ref="O3:Q3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0C40-5B9A-46C9-AC3C-B94738C4BA4D}">
  <dimension ref="A1:W34"/>
  <sheetViews>
    <sheetView topLeftCell="A4" workbookViewId="0">
      <selection activeCell="M25" sqref="M25"/>
    </sheetView>
  </sheetViews>
  <sheetFormatPr defaultRowHeight="14.4"/>
  <cols>
    <col min="1" max="2" width="25.77734375" customWidth="1"/>
    <col min="3" max="3" width="10.33203125" bestFit="1" customWidth="1"/>
    <col min="4" max="4" width="11.109375" bestFit="1" customWidth="1"/>
    <col min="5" max="6" width="10.6640625" bestFit="1" customWidth="1"/>
    <col min="12" max="12" width="51.6640625" bestFit="1" customWidth="1"/>
    <col min="13" max="17" width="12.44140625" bestFit="1" customWidth="1"/>
    <col min="18" max="19" width="13.5546875" bestFit="1" customWidth="1"/>
    <col min="20" max="20" width="13.5546875" customWidth="1"/>
    <col min="21" max="21" width="12.44140625" bestFit="1" customWidth="1"/>
    <col min="22" max="22" width="6.33203125" bestFit="1" customWidth="1"/>
  </cols>
  <sheetData>
    <row r="1" spans="1:13">
      <c r="A1" s="50" t="s">
        <v>56</v>
      </c>
      <c r="L1" s="17"/>
      <c r="M1" s="16"/>
    </row>
    <row r="2" spans="1:13">
      <c r="A2" s="68">
        <v>0</v>
      </c>
      <c r="B2" s="69" t="s">
        <v>60</v>
      </c>
      <c r="C2" s="31">
        <v>123.456789</v>
      </c>
      <c r="D2" s="31">
        <v>123.456789</v>
      </c>
      <c r="E2" s="31">
        <v>123.456789</v>
      </c>
      <c r="F2" s="31">
        <v>123.456789</v>
      </c>
      <c r="G2" s="30"/>
      <c r="H2" s="30"/>
      <c r="I2" s="30"/>
      <c r="J2" s="30"/>
      <c r="K2" s="30"/>
      <c r="L2" s="18"/>
      <c r="M2" s="16"/>
    </row>
    <row r="3" spans="1:13">
      <c r="A3" s="68">
        <v>1</v>
      </c>
      <c r="B3" s="69" t="s">
        <v>60</v>
      </c>
      <c r="C3" s="33">
        <v>123.456789</v>
      </c>
      <c r="D3" s="33">
        <v>123.456789</v>
      </c>
      <c r="E3" s="33">
        <v>123.456789</v>
      </c>
      <c r="F3" s="33">
        <v>123.456789</v>
      </c>
      <c r="G3" s="32"/>
      <c r="H3" s="32"/>
      <c r="I3" s="32"/>
      <c r="J3" s="32"/>
      <c r="K3" s="32"/>
      <c r="L3" s="18"/>
      <c r="M3" s="16"/>
    </row>
    <row r="4" spans="1:13">
      <c r="A4" s="68">
        <v>2</v>
      </c>
      <c r="B4" s="69" t="s">
        <v>60</v>
      </c>
      <c r="C4" s="35">
        <v>123.456789</v>
      </c>
      <c r="D4" s="35">
        <v>123.456789</v>
      </c>
      <c r="E4" s="35">
        <v>123.456789</v>
      </c>
      <c r="F4" s="35">
        <v>123.456789</v>
      </c>
      <c r="G4" s="34"/>
      <c r="H4" s="34"/>
      <c r="I4" s="34"/>
      <c r="J4" s="34"/>
      <c r="K4" s="34"/>
      <c r="L4" s="18"/>
      <c r="M4" s="16"/>
    </row>
    <row r="5" spans="1:13">
      <c r="A5" s="68">
        <v>3</v>
      </c>
      <c r="B5" s="69" t="s">
        <v>60</v>
      </c>
      <c r="C5" s="37">
        <v>123.456789</v>
      </c>
      <c r="D5" s="37">
        <v>123.456789</v>
      </c>
      <c r="E5" s="37">
        <v>123.456789</v>
      </c>
      <c r="F5" s="37">
        <v>123.456789</v>
      </c>
      <c r="G5" s="36"/>
      <c r="H5" s="36"/>
      <c r="I5" s="36"/>
      <c r="J5" s="36"/>
      <c r="K5" s="36"/>
      <c r="L5" s="18"/>
      <c r="M5" s="16"/>
    </row>
    <row r="6" spans="1:13">
      <c r="A6" s="68">
        <v>4</v>
      </c>
      <c r="B6" s="69" t="s">
        <v>60</v>
      </c>
      <c r="C6" s="39">
        <v>123.456789</v>
      </c>
      <c r="D6" s="39">
        <v>123.456789</v>
      </c>
      <c r="E6" s="39">
        <v>123.456789</v>
      </c>
      <c r="F6" s="39">
        <v>123.456789</v>
      </c>
      <c r="G6" s="38"/>
      <c r="H6" s="38"/>
      <c r="I6" s="38"/>
      <c r="J6" s="38"/>
      <c r="K6" s="38"/>
      <c r="L6" s="18"/>
      <c r="M6" s="16"/>
    </row>
    <row r="7" spans="1:13" ht="15" thickBot="1">
      <c r="A7" s="68">
        <v>5</v>
      </c>
      <c r="B7" s="69" t="s">
        <v>60</v>
      </c>
      <c r="C7" s="41">
        <v>123.456789</v>
      </c>
      <c r="D7" s="41">
        <v>123.456789</v>
      </c>
      <c r="E7" s="41">
        <v>123.456789</v>
      </c>
      <c r="F7" s="41">
        <v>123.456789</v>
      </c>
      <c r="G7" s="40"/>
      <c r="H7" s="40"/>
      <c r="I7" s="40"/>
      <c r="J7" s="40"/>
      <c r="K7" s="40"/>
    </row>
    <row r="8" spans="1:13" ht="15" thickBot="1">
      <c r="A8" s="42" t="s">
        <v>57</v>
      </c>
      <c r="B8" s="44" t="s">
        <v>60</v>
      </c>
      <c r="C8" s="45">
        <v>123.456789</v>
      </c>
      <c r="D8" s="45">
        <v>123.456789</v>
      </c>
      <c r="E8" s="45">
        <v>123.456789</v>
      </c>
      <c r="F8" s="45">
        <v>123.456789</v>
      </c>
      <c r="G8" s="43"/>
      <c r="H8" s="43"/>
      <c r="I8" s="43"/>
      <c r="J8" s="43"/>
      <c r="K8" s="43"/>
    </row>
    <row r="9" spans="1:13" ht="15" thickBot="1">
      <c r="A9" s="46" t="s">
        <v>58</v>
      </c>
      <c r="B9" s="48" t="s">
        <v>60</v>
      </c>
      <c r="C9" s="49">
        <v>123.456789</v>
      </c>
      <c r="D9" s="49">
        <v>123.456789</v>
      </c>
      <c r="E9" s="49">
        <v>123.456789</v>
      </c>
      <c r="F9" s="49">
        <v>123.456789</v>
      </c>
      <c r="G9" s="47"/>
      <c r="H9" s="47"/>
      <c r="I9" s="47"/>
      <c r="J9" s="47"/>
      <c r="K9" s="47"/>
    </row>
    <row r="10" spans="1:13">
      <c r="A10" s="24" t="s">
        <v>59</v>
      </c>
    </row>
    <row r="11" spans="1:13" ht="15" customHeight="1">
      <c r="B11" s="24" t="s">
        <v>61</v>
      </c>
    </row>
    <row r="12" spans="1:13" ht="15" customHeight="1" thickBot="1">
      <c r="B12" t="str">
        <f ca="1">_xll.TM1RPTVIEW("CONS_VC:DFS.100.Profit_and_Loss:4065595",0,_xll.TM1RPTTITLE("CONS_VC:ALL.D.Year",$B$14),_xll.TM1RPTTITLE("CONS_VC:DFS.M.100.Profit_and_Loss",$B$15),_xll.TM1RPTTITLE("CONS_VC:ALL.D.Version",$B$16),_xll.TM1RPTTITLE("CONS_VC:ALL.D.Currency",EBITDA!$B$5),_xll.TM1RPTTITLE("CONS_VC:ALL.D.Region",$B$18),_xll.TM1RPTTITLE("CONS_VC:ALL.D.Products",$B$19),TM1RPTFMTRNG4065595,TM1RPTFMTIDCOL4065595)</f>
        <v>CONS_VC:DFS.100.Profit_and_Loss:4065595</v>
      </c>
    </row>
    <row r="13" spans="1:13" ht="15" customHeight="1">
      <c r="B13" s="214" t="s">
        <v>67</v>
      </c>
    </row>
    <row r="14" spans="1:13">
      <c r="B14" s="215" t="str">
        <f ca="1">_xll.SUBNM("CONS_VC:ALL.D.Year",,"2025")</f>
        <v>RECALC_0_7_</v>
      </c>
    </row>
    <row r="15" spans="1:13">
      <c r="B15" s="215" t="str">
        <f ca="1">_xll.SUBNM("CONS_VC:DFS.M.100.Profit_and_Loss",,"Total Value")</f>
        <v>RECALC_0_551_</v>
      </c>
    </row>
    <row r="16" spans="1:13">
      <c r="B16" s="215" t="str">
        <f ca="1">_xll.SUBNM("CONS_VC:ALL.D.Version","Sys.Report","Actual","Descrição")</f>
        <v>RECALC_0_539_</v>
      </c>
    </row>
    <row r="17" spans="1:23">
      <c r="B17" s="216"/>
    </row>
    <row r="18" spans="1:23">
      <c r="B18" s="215" t="str">
        <f ca="1">_xll.SUBNM("CONS_VC:ALL.D.Region",,"Global")</f>
        <v>RECALC_0_495_</v>
      </c>
    </row>
    <row r="19" spans="1:23" ht="15" thickBot="1">
      <c r="B19" s="215" t="str">
        <f ca="1">_xll.SUBNM("CONS_VC:ALL.D.Products",,"Total Products")</f>
        <v>RECALC_0_11_</v>
      </c>
    </row>
    <row r="20" spans="1:23" ht="15" thickBot="1">
      <c r="B20" s="217" t="str">
        <f ca="1">_xll.TM1RPTROW($B$12,"CONS_VC:DFS.D.Accounts_PnL",,,,FALSE,B$11)</f>
        <v>pending__Modelo Global Result.xlsx:EBITDA - Fx:TM1RPTDATARNG:4065595</v>
      </c>
    </row>
    <row r="21" spans="1:23" ht="15" thickBot="1"/>
    <row r="22" spans="1:23" ht="15" thickBot="1">
      <c r="B22" s="368" t="s">
        <v>80</v>
      </c>
      <c r="C22" s="369"/>
      <c r="D22" s="186" t="s">
        <v>68</v>
      </c>
      <c r="E22" s="186" t="s">
        <v>69</v>
      </c>
      <c r="F22" s="186" t="s">
        <v>70</v>
      </c>
      <c r="G22" s="187" t="s">
        <v>71</v>
      </c>
      <c r="I22" s="368" t="s">
        <v>81</v>
      </c>
      <c r="J22" s="369"/>
      <c r="K22" s="195" t="s">
        <v>11</v>
      </c>
      <c r="L22" s="196" t="s">
        <v>64</v>
      </c>
      <c r="M22" s="197" t="s">
        <v>33</v>
      </c>
      <c r="N22" s="197" t="s">
        <v>34</v>
      </c>
      <c r="O22" s="197" t="s">
        <v>34</v>
      </c>
      <c r="P22" s="198" t="s">
        <v>34</v>
      </c>
      <c r="Q22" s="199" t="s">
        <v>34</v>
      </c>
      <c r="R22" s="197" t="s">
        <v>34</v>
      </c>
      <c r="S22" s="200" t="s">
        <v>64</v>
      </c>
      <c r="T22" s="201" t="s">
        <v>34</v>
      </c>
    </row>
    <row r="23" spans="1:23" s="47" customFormat="1">
      <c r="A23" s="46" t="e">
        <f ca="1">IF(_xll.TM1RPTELISCONSOLIDATED($B$20,EBITDA!$C$6),IF(_xll.TM1RPTELLEV($B$20,EBITDA!$C$6)&lt;=5,_xll.TM1RPTELLEV($B$20,EBITDA!$C$6),"Default"),"Leaf")</f>
        <v>#VALUE!</v>
      </c>
      <c r="B23" s="188" t="s">
        <v>64</v>
      </c>
      <c r="C23" s="55">
        <v>2024</v>
      </c>
      <c r="D23" s="49" t="str">
        <f ca="1">_xll.DBRW($B$12,$C$23,D$22,$B23,EBITDA!$B$5,$B$18,$B$19,EBITDA!$C$6,$B$15)</f>
        <v>RECALC_1_575_</v>
      </c>
      <c r="E23" s="49" t="str">
        <f ca="1">_xll.DBRW($B$12,$C$23,E$22,$B23,EBITDA!$B$5,$B$18,$B$19,EBITDA!$C$6,$B$15)</f>
        <v>RECALC_1_598_</v>
      </c>
      <c r="F23" s="49" t="str">
        <f ca="1">_xll.DBRW($B$12,$C$23,F$22,$B23,EBITDA!$B$5,$B$18,$B$19,EBITDA!$C$6,$B$15)</f>
        <v>RECALC_1_597_</v>
      </c>
      <c r="G23" s="189" t="str">
        <f ca="1">_xll.DBRW($B$12,$C$23,G$22,$B23,EBITDA!$B$5,$B$18,$B$19,EBITDA!$C$6,$B$15)</f>
        <v>RECALC_1_594_</v>
      </c>
      <c r="I23" s="202"/>
      <c r="K23" s="70" t="s">
        <v>79</v>
      </c>
      <c r="L23" s="76" t="s">
        <v>42</v>
      </c>
      <c r="M23" s="76" t="s">
        <v>42</v>
      </c>
      <c r="N23" s="76" t="s">
        <v>21</v>
      </c>
      <c r="O23" s="76" t="s">
        <v>22</v>
      </c>
      <c r="P23" s="79" t="s">
        <v>36</v>
      </c>
      <c r="Q23" s="74" t="s">
        <v>37</v>
      </c>
      <c r="R23" s="76" t="s">
        <v>43</v>
      </c>
      <c r="S23" s="79" t="s">
        <v>78</v>
      </c>
      <c r="T23" s="203" t="s">
        <v>42</v>
      </c>
      <c r="U23"/>
      <c r="V23"/>
      <c r="W23"/>
    </row>
    <row r="24" spans="1:23">
      <c r="B24" s="190" t="s">
        <v>33</v>
      </c>
      <c r="C24" s="52" t="s">
        <v>33</v>
      </c>
      <c r="D24" s="49" t="str">
        <f ca="1">_xll.DBRW($B$12,$B$14,D$22,$B24,EBITDA!$B$5,$B$18,$B$19,EBITDA!$C$6,$B$15)</f>
        <v>RECALC_1_570_</v>
      </c>
      <c r="E24" s="49" t="str">
        <f ca="1">_xll.DBRW($B$12,$B$14,E$22,$B24,EBITDA!$B$5,$B$18,$B$19,EBITDA!$C$6,$B$15)</f>
        <v>RECALC_1_576_</v>
      </c>
      <c r="F24" s="49" t="str">
        <f ca="1">_xll.DBRW($B$12,$B$14,F$22,$B24,EBITDA!$B$5,$B$18,$B$19,EBITDA!$C$6,$B$15)</f>
        <v>RECALC_1_593_</v>
      </c>
      <c r="G24" s="189" t="str">
        <f ca="1">_xll.DBRW($B$12,$B$14,G$22,$B24,EBITDA!$B$5,$B$18,$B$19,EBITDA!$C$6,$B$15)</f>
        <v>RECALC_1_592_</v>
      </c>
      <c r="I24" s="190"/>
      <c r="K24" s="71"/>
      <c r="L24" s="77" t="e">
        <f ca="1">B14-1</f>
        <v>#VALUE!</v>
      </c>
      <c r="M24" s="77" t="s">
        <v>33</v>
      </c>
      <c r="N24" s="77" t="s">
        <v>21</v>
      </c>
      <c r="O24" s="77" t="s">
        <v>22</v>
      </c>
      <c r="P24" s="78" t="s">
        <v>23</v>
      </c>
      <c r="Q24" s="75" t="s">
        <v>37</v>
      </c>
      <c r="R24" s="77" t="s">
        <v>65</v>
      </c>
      <c r="S24" s="78" t="s">
        <v>66</v>
      </c>
      <c r="T24" s="204" t="str">
        <f ca="1">B14</f>
        <v>RECALC_0_7_</v>
      </c>
    </row>
    <row r="25" spans="1:23" ht="15" thickBot="1">
      <c r="B25" s="191" t="s">
        <v>34</v>
      </c>
      <c r="C25" s="192">
        <v>2025</v>
      </c>
      <c r="D25" s="193" t="str">
        <f ca="1">_xll.DBRW($B$12,$B$14,D$22,$B25,EBITDA!$B$5,$B$18,$B$19,EBITDA!$C$6,$B$15)</f>
        <v>RECALC_1_553_</v>
      </c>
      <c r="E25" s="193" t="str">
        <f ca="1">_xll.DBRW($B$12,$B$14,E$22,$B25,EBITDA!$B$5,$B$18,$B$19,EBITDA!$C$6,$B$15)</f>
        <v>RECALC_1_569_</v>
      </c>
      <c r="F25" s="193" t="str">
        <f ca="1">_xll.DBRW($B$12,$B$14,F$22,$B25,EBITDA!$B$5,$B$18,$B$19,EBITDA!$C$6,$B$15)</f>
        <v>RECALC_1_556_</v>
      </c>
      <c r="G25" s="194" t="str">
        <f ca="1">_xll.DBRW($B$12,$B$14,G$22,$B25,EBITDA!$B$5,$B$18,$B$19,EBITDA!$C$6,$B$15)</f>
        <v>RECALC_1_586_</v>
      </c>
      <c r="I25" s="190"/>
      <c r="K25" s="72"/>
      <c r="L25" s="73" t="str">
        <f ca="1">_xll.DBRW($B$12,$B$14,$B$13,L$22,EBITDA!$B$5,L$23,$B$19,EBITDA!$AC$6,$B$15)</f>
        <v>RECALC_1_583_</v>
      </c>
      <c r="M25" s="73" t="str">
        <f ca="1">_xll.DBRW($B$12,$B$14,$B$13,M$22,EBITDA!$B$5,M$23,$B$19,EBITDA!$AC$6,$B$15)</f>
        <v>RECALC_1_558_</v>
      </c>
      <c r="N25" s="73" t="str">
        <f ca="1">_xll.DBRW($B$12,$B$14,$B$13,N$22,EBITDA!$B$5,N$23,$B$19,EBITDA!$AC$6,$B$15)</f>
        <v>RECALC_1_554_</v>
      </c>
      <c r="O25" s="73" t="str">
        <f ca="1">_xll.DBRW($B$12,$B$14,$B$13,O$22,EBITDA!$B$5,O$23,$B$19,EBITDA!$AC$6,$B$15)</f>
        <v>RECALC_1_590_</v>
      </c>
      <c r="P25" s="73" t="str">
        <f ca="1">_xll.DBRW($B$12,$B$14,$B$13,P$22,EBITDA!$B$5,P$23,$B$19,EBITDA!$AC$6,$B$15)</f>
        <v>RECALC_1_587_</v>
      </c>
      <c r="Q25" s="73" t="str">
        <f ca="1">_xll.DBRW($B$12,$B$14,$B$13,Q$22,EBITDA!$B$5,Q$23,$B$19,EBITDA!$AC$6,$B$15)</f>
        <v>RECALC_1_589_</v>
      </c>
      <c r="R25" s="73" t="str">
        <f ca="1">_xll.DBRW($B$12,$B$14,$B$13,R$22,EBITDA!$B$5,R$23,$B$19,EBITDA!$AC$6,$B$15)</f>
        <v>RECALC_1_559_</v>
      </c>
      <c r="S25" s="73" t="str">
        <f ca="1">_xll.DBRW($B$12,$B$14,$B$13,S$22,EBITDA!$B$5,S$23,$B$19,EBITDA!$AC$6,$B$15)</f>
        <v>RECALC_1_596_</v>
      </c>
      <c r="T25" s="205" t="str">
        <f ca="1">_xll.DBRW($B$12,$B$14,$B$13,T$22,EBITDA!$B$5,T$23,$B$19,EBITDA!$AC$6,$B$15)</f>
        <v>RECALC_1_572_</v>
      </c>
    </row>
    <row r="26" spans="1:23" ht="15" thickBot="1">
      <c r="I26" s="191"/>
      <c r="J26" s="206"/>
      <c r="K26" s="207" t="s">
        <v>33</v>
      </c>
      <c r="L26" s="208"/>
      <c r="M26" s="209"/>
      <c r="N26" s="210" t="str">
        <f ca="1">_xll.DBRW($B$12,$B$14,$B$13,$K$26,EBITDA!$B$5,N$23,$B$19,EBITDA!$AC$6,$B$15)</f>
        <v>RECALC_1_582_</v>
      </c>
      <c r="O26" s="210" t="str">
        <f ca="1">_xll.DBRW($B$12,$B$14,$B$13,$K$26,EBITDA!$B$5,O$23,$B$19,EBITDA!$AC$6,$B$15)</f>
        <v>RECALC_1_557_</v>
      </c>
      <c r="P26" s="210" t="str">
        <f ca="1">_xll.DBRW($B$12,$B$14,$B$13,$K$26,EBITDA!$B$5,P$23,$B$19,EBITDA!$AC$6,$B$15)</f>
        <v>RECALC_1_584_</v>
      </c>
      <c r="Q26" s="210" t="str">
        <f ca="1">_xll.DBRW($B$12,$B$14,$B$13,$K$26,EBITDA!$B$5,Q$23,$B$19,EBITDA!$AC$6,$B$15)</f>
        <v>RECALC_1_581_</v>
      </c>
      <c r="R26" s="210" t="str">
        <f ca="1">_xll.DBRW($B$12,$B$14,$B$13,$K$26,EBITDA!$B$5,R$23,$B$19,EBITDA!$AC$6,$B$15)</f>
        <v>RECALC_1_591_</v>
      </c>
      <c r="S26" s="209"/>
      <c r="T26" s="211"/>
    </row>
    <row r="27" spans="1:23">
      <c r="N27" s="80" t="e">
        <f ca="1">N25-N26</f>
        <v>#VALUE!</v>
      </c>
      <c r="O27" s="80" t="e">
        <f t="shared" ref="O27:R27" ca="1" si="0">O25-O26</f>
        <v>#VALUE!</v>
      </c>
      <c r="P27" s="80" t="e">
        <f t="shared" ca="1" si="0"/>
        <v>#VALUE!</v>
      </c>
      <c r="Q27" s="80" t="e">
        <f t="shared" ca="1" si="0"/>
        <v>#VALUE!</v>
      </c>
      <c r="R27" s="80" t="e">
        <f t="shared" ca="1" si="0"/>
        <v>#VALUE!</v>
      </c>
    </row>
    <row r="29" spans="1:23" ht="15" thickBot="1">
      <c r="M29" s="80" t="e">
        <f ca="1">T25-M25</f>
        <v>#VALUE!</v>
      </c>
    </row>
    <row r="30" spans="1:23" ht="15" thickBot="1">
      <c r="B30" s="212" t="s">
        <v>72</v>
      </c>
      <c r="C30" s="213"/>
      <c r="D30" s="186" t="s">
        <v>68</v>
      </c>
      <c r="E30" s="186" t="s">
        <v>69</v>
      </c>
      <c r="F30" s="186" t="s">
        <v>70</v>
      </c>
      <c r="G30" s="187" t="s">
        <v>71</v>
      </c>
    </row>
    <row r="31" spans="1:23">
      <c r="B31" s="190"/>
      <c r="C31" s="52">
        <v>2024</v>
      </c>
      <c r="D31" s="49" t="str">
        <f ca="1">_xll.DBRW($B$12,$C$23,D$22,$B23,EBITDA!$B$5,$B$18,$B$19,$B30,$B$15)</f>
        <v>RECALC_1_567_</v>
      </c>
      <c r="E31" s="49" t="str">
        <f ca="1">_xll.DBRW($B$12,$C$23,E$22,$B23,EBITDA!$B$5,$B$18,$B$19,$B30,$B$15)</f>
        <v>RECALC_1_565_</v>
      </c>
      <c r="F31" s="49" t="str">
        <f ca="1">_xll.DBRW($B$12,$C$23,F$22,$B23,EBITDA!$B$5,$B$18,$B$19,$B30,$B$15)</f>
        <v>RECALC_1_555_</v>
      </c>
      <c r="G31" s="189" t="str">
        <f ca="1">_xll.DBRW($B$12,$C$23,G$22,$B23,EBITDA!$B$5,$B$18,$B$19,$B30,$B$15)</f>
        <v>RECALC_1_568_</v>
      </c>
    </row>
    <row r="32" spans="1:23">
      <c r="B32" s="190"/>
      <c r="C32" s="52" t="s">
        <v>33</v>
      </c>
      <c r="D32" s="49" t="str">
        <f ca="1">_xll.DBRW($B$12,$B$14,D$22,$B24,EBITDA!$B$5,$B$18,$B$19,$B30,$B$15)</f>
        <v>RECALC_1_578_</v>
      </c>
      <c r="E32" s="49" t="str">
        <f ca="1">_xll.DBRW($B$12,$B$14,E$22,$B24,EBITDA!$B$5,$B$18,$B$19,$B30,$B$15)</f>
        <v>RECALC_1_566_</v>
      </c>
      <c r="F32" s="49" t="str">
        <f ca="1">_xll.DBRW($B$12,$B$14,F$22,$B24,EBITDA!$B$5,$B$18,$B$19,$B30,$B$15)</f>
        <v>RECALC_1_552_</v>
      </c>
      <c r="G32" s="189" t="str">
        <f ca="1">_xll.DBRW($B$12,$B$14,G$22,$B24,EBITDA!$B$5,$B$18,$B$19,$B30,$B$15)</f>
        <v>RECALC_1_588_</v>
      </c>
      <c r="L32">
        <v>6965</v>
      </c>
      <c r="M32">
        <v>-87</v>
      </c>
      <c r="N32">
        <f>SUM(L32:M32)</f>
        <v>6878</v>
      </c>
      <c r="O32">
        <f>SUM(L32-N32)</f>
        <v>87</v>
      </c>
    </row>
    <row r="33" spans="2:17" ht="15" thickBot="1">
      <c r="B33" s="191"/>
      <c r="C33" s="192">
        <v>2025</v>
      </c>
      <c r="D33" s="193" t="str">
        <f ca="1">_xll.DBRW($B$12,$B$14,D$22,$B25,EBITDA!$B$5,$B$18,$B$19,$B30,$B$15)</f>
        <v>RECALC_1_595_</v>
      </c>
      <c r="E33" s="193" t="str">
        <f ca="1">_xll.DBRW($B$12,$B$14,E$22,$B25,EBITDA!$B$5,$B$18,$B$19,$B30,$B$15)</f>
        <v>RECALC_1_585_</v>
      </c>
      <c r="F33" s="193" t="str">
        <f ca="1">_xll.DBRW($B$12,$B$14,F$22,$B25,EBITDA!$B$5,$B$18,$B$19,$B30,$B$15)</f>
        <v>RECALC_1_564_</v>
      </c>
      <c r="G33" s="194" t="str">
        <f ca="1">_xll.DBRW($B$12,$B$14,G$22,$B25,EBITDA!$B$5,$B$18,$B$19,$B30,$B$15)</f>
        <v>RECALC_1_563_</v>
      </c>
    </row>
    <row r="34" spans="2:17">
      <c r="L34">
        <v>-87</v>
      </c>
      <c r="M34">
        <v>-112</v>
      </c>
      <c r="N34">
        <v>163</v>
      </c>
      <c r="O34">
        <v>83</v>
      </c>
      <c r="P34">
        <v>5</v>
      </c>
      <c r="Q34">
        <v>-139</v>
      </c>
    </row>
  </sheetData>
  <mergeCells count="2">
    <mergeCell ref="I22:J22"/>
    <mergeCell ref="B22:C22"/>
  </mergeCells>
  <phoneticPr fontId="21" type="noConversion"/>
  <pageMargins left="0.511811024" right="0.511811024" top="0.78740157499999996" bottom="0.78740157499999996" header="0.31496062000000002" footer="0.31496062000000002"/>
  <customProperties>
    <customPr name="COR_LastLabelRowStart" r:id="rId1"/>
    <customPr name="COR_MapSheets" r:id="rId2"/>
    <customPr name="Serialized_Sheet_Mapping" r:id="rId3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3A75-D42B-49D2-ADFD-AF6E21ED45F6}">
  <dimension ref="A5:AC34"/>
  <sheetViews>
    <sheetView showGridLines="0" workbookViewId="0">
      <selection activeCell="AC6" sqref="AC6"/>
    </sheetView>
  </sheetViews>
  <sheetFormatPr defaultRowHeight="14.4"/>
  <cols>
    <col min="2" max="28" width="4.33203125" customWidth="1"/>
  </cols>
  <sheetData>
    <row r="5" spans="2:29" ht="10.8" customHeight="1">
      <c r="B5" s="371" t="str">
        <f ca="1">_xll.SUBNM("CONS_VC:ALL.D.Currency","Default","BRL Conv.")</f>
        <v>RECALC_0_70_</v>
      </c>
      <c r="C5" s="372"/>
      <c r="D5" s="372"/>
    </row>
    <row r="6" spans="2:29" ht="21.6" customHeight="1">
      <c r="C6" s="184" t="str">
        <f ca="1">_xll.SUBNM("CONS_VC:DFS.D.Accounts_PnL","Default","EBITDA")</f>
        <v>RECALC_0_112_</v>
      </c>
      <c r="AC6" s="184" t="str">
        <f ca="1">_xll.SUBNM("CONS_VC:DFS.D.Accounts_PnL","Default","EBITDA")</f>
        <v>RECALC_0_112_</v>
      </c>
    </row>
    <row r="7" spans="2:29" ht="17.399999999999999">
      <c r="C7" s="185" t="s">
        <v>219</v>
      </c>
      <c r="AC7" s="184" t="s">
        <v>29</v>
      </c>
    </row>
    <row r="26" spans="1:21">
      <c r="A26" s="81" t="str">
        <f ca="1">"Margin "
&amp;'EBITDA - Fx'!B20</f>
        <v>Margin pending__Modelo Global Result.xlsx:EBITDA - Fx:TM1RPTDATARNG:4065595</v>
      </c>
      <c r="E26" s="57" t="str">
        <f ca="1">'EBITDA - Fx'!D31</f>
        <v>RECALC_1_567_</v>
      </c>
      <c r="F26" s="58" t="str">
        <f ca="1">'EBITDA - Fx'!D32</f>
        <v>RECALC_1_578_</v>
      </c>
      <c r="G26" s="59" t="str">
        <f ca="1">'EBITDA - Fx'!D33</f>
        <v>RECALC_1_595_</v>
      </c>
      <c r="H26" s="56"/>
      <c r="I26" s="56"/>
      <c r="J26" s="57" t="str">
        <f ca="1">'EBITDA - Fx'!E31</f>
        <v>RECALC_1_565_</v>
      </c>
      <c r="K26" s="58" t="str">
        <f ca="1">'EBITDA - Fx'!E32</f>
        <v>RECALC_1_566_</v>
      </c>
      <c r="L26" s="59" t="str">
        <f ca="1">'EBITDA - Fx'!E33</f>
        <v>RECALC_1_585_</v>
      </c>
      <c r="M26" s="56"/>
      <c r="N26" s="57" t="str">
        <f ca="1">'EBITDA - Fx'!F31</f>
        <v>RECALC_1_555_</v>
      </c>
      <c r="O26" s="58" t="str">
        <f ca="1">'EBITDA - Fx'!F32</f>
        <v>RECALC_1_552_</v>
      </c>
      <c r="P26" s="59" t="str">
        <f ca="1">'EBITDA - Fx'!F33</f>
        <v>RECALC_1_564_</v>
      </c>
      <c r="Q26" s="56"/>
      <c r="R26" s="56"/>
      <c r="S26" s="57" t="str">
        <f ca="1">'EBITDA - Fx'!G31</f>
        <v>RECALC_1_568_</v>
      </c>
      <c r="T26" s="58" t="str">
        <f ca="1">'EBITDA - Fx'!G32</f>
        <v>RECALC_1_588_</v>
      </c>
      <c r="U26" s="59" t="str">
        <f ca="1">'EBITDA - Fx'!G33</f>
        <v>RECALC_1_563_</v>
      </c>
    </row>
    <row r="31" spans="1:21">
      <c r="D31" s="370"/>
      <c r="E31" s="370"/>
      <c r="F31" s="370"/>
      <c r="G31" s="370"/>
      <c r="H31" s="370"/>
      <c r="I31" s="370"/>
    </row>
    <row r="32" spans="1:21">
      <c r="D32" s="370"/>
      <c r="E32" s="370"/>
      <c r="F32" s="370"/>
      <c r="G32" s="370"/>
      <c r="H32" s="370"/>
      <c r="I32" s="370"/>
    </row>
    <row r="33" spans="4:9">
      <c r="D33" s="370"/>
      <c r="E33" s="370"/>
      <c r="F33" s="370"/>
      <c r="G33" s="370"/>
      <c r="H33" s="370"/>
      <c r="I33" s="370"/>
    </row>
    <row r="34" spans="4:9">
      <c r="D34" s="370"/>
      <c r="E34" s="370"/>
      <c r="F34" s="370"/>
      <c r="G34" s="370"/>
      <c r="H34" s="370"/>
      <c r="I34" s="370"/>
    </row>
  </sheetData>
  <mergeCells count="2">
    <mergeCell ref="D31:I34"/>
    <mergeCell ref="B5:D5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7098-DA37-41AD-BBCC-928B82E90C60}">
  <dimension ref="A1:E11"/>
  <sheetViews>
    <sheetView workbookViewId="0">
      <selection activeCell="B4" sqref="B4"/>
    </sheetView>
  </sheetViews>
  <sheetFormatPr defaultRowHeight="14.4"/>
  <cols>
    <col min="1" max="1" width="55.33203125" bestFit="1" customWidth="1"/>
    <col min="2" max="5" width="13.5546875" bestFit="1" customWidth="1"/>
  </cols>
  <sheetData>
    <row r="1" spans="1:5">
      <c r="A1" s="17" t="str">
        <f ca="1">_xll.VIEW("CONS_VC:DFS.140.Indirect_Cash_Flow",$B$2,"!","!",$B$5,$B$6,'Cash Generation'!$C$7,$B$3)</f>
        <v>CONS_VC:DFS.140.Indirect_Cash_Flow:205767106-2015365241</v>
      </c>
      <c r="B1" s="16"/>
    </row>
    <row r="2" spans="1:5">
      <c r="A2" s="18" t="s">
        <v>38</v>
      </c>
      <c r="B2" s="23" t="str">
        <f ca="1">_xll.SUBNM("CONS_VC:ALL.D.Year","","2025")</f>
        <v>RECALC_0_7_</v>
      </c>
    </row>
    <row r="3" spans="1:5">
      <c r="A3" s="18" t="s">
        <v>74</v>
      </c>
      <c r="B3" s="23" t="str">
        <f ca="1">_xll.SUBNM("CONS_VC:DFS.M.140.Indirect_Cash_Flow","","Total Value")</f>
        <v>RECALC_0_535_</v>
      </c>
    </row>
    <row r="4" spans="1:5">
      <c r="A4" s="18" t="s">
        <v>75</v>
      </c>
    </row>
    <row r="5" spans="1:5">
      <c r="A5" s="18" t="s">
        <v>40</v>
      </c>
      <c r="B5" s="23" t="str">
        <f ca="1">_xll.SUBNM("CONS_VC:ALL.D.Currency","","BRL Conv.")</f>
        <v>RECALC_0_496_</v>
      </c>
    </row>
    <row r="6" spans="1:5">
      <c r="A6" s="18" t="s">
        <v>41</v>
      </c>
      <c r="B6" s="23" t="str">
        <f ca="1">_xll.SUBNM("CONS_VC:ALL.D.Region","","Global")</f>
        <v>RECALC_0_495_</v>
      </c>
    </row>
    <row r="8" spans="1:5" ht="15" thickBot="1">
      <c r="A8" s="21"/>
      <c r="B8" s="20" t="s">
        <v>68</v>
      </c>
      <c r="C8" s="20" t="s">
        <v>69</v>
      </c>
      <c r="D8" s="20" t="s">
        <v>70</v>
      </c>
      <c r="E8" s="20" t="s">
        <v>71</v>
      </c>
    </row>
    <row r="9" spans="1:5">
      <c r="A9" s="60" t="s">
        <v>64</v>
      </c>
      <c r="B9" s="19" t="str">
        <f ca="1">_xll.DBRW($A$1,$B$2,B$8,$A9,$B$5,$B$6,'Cash Generation'!$C$7,$B$3)</f>
        <v>RECALC_1_549_</v>
      </c>
      <c r="C9" s="19" t="str">
        <f ca="1">_xll.DBRW($A$1,$B$2,C$8,$A9,$B$5,$B$6,'Cash Generation'!$C$7,$B$3)</f>
        <v>RECALC_1_547_</v>
      </c>
      <c r="D9" s="19" t="str">
        <f ca="1">_xll.DBRW($A$1,$B$2,D$8,$A9,$B$5,$B$6,'Cash Generation'!$C$7,$B$3)</f>
        <v>RECALC_1_540_</v>
      </c>
      <c r="E9" s="19" t="str">
        <f ca="1">_xll.DBRW($A$1,$B$2,E$8,$A9,$B$5,$B$6,'Cash Generation'!$C$7,$B$3)</f>
        <v>RECALC_1_546_</v>
      </c>
    </row>
    <row r="10" spans="1:5">
      <c r="A10" s="60" t="s">
        <v>33</v>
      </c>
      <c r="B10" s="19" t="str">
        <f ca="1">_xll.DBRW($A$1,$B$2,B$8,$A10,$B$5,$B$6,'Cash Generation'!$C$7,$B$3)</f>
        <v>RECALC_1_545_</v>
      </c>
      <c r="C10" s="19" t="str">
        <f ca="1">_xll.DBRW($A$1,$B$2,C$8,$A10,$B$5,$B$6,'Cash Generation'!$C$7,$B$3)</f>
        <v>RECALC_1_543_</v>
      </c>
      <c r="D10" s="19" t="str">
        <f ca="1">_xll.DBRW($A$1,$B$2,D$8,$A10,$B$5,$B$6,'Cash Generation'!$C$7,$B$3)</f>
        <v>RECALC_1_550_</v>
      </c>
      <c r="E10" s="19" t="str">
        <f ca="1">_xll.DBRW($A$1,$B$2,E$8,$A10,$B$5,$B$6,'Cash Generation'!$C$7,$B$3)</f>
        <v>RECALC_1_548_</v>
      </c>
    </row>
    <row r="11" spans="1:5">
      <c r="A11" s="22" t="s">
        <v>34</v>
      </c>
      <c r="B11" s="19" t="str">
        <f ca="1">_xll.DBRW($A$1,$B$2,B$8,$A11,$B$5,$B$6,'Cash Generation'!$C$7,$B$3)</f>
        <v>RECALC_1_541_</v>
      </c>
      <c r="C11" s="19" t="str">
        <f ca="1">_xll.DBRW($A$1,$B$2,C$8,$A11,$B$5,$B$6,'Cash Generation'!$C$7,$B$3)</f>
        <v>RECALC_1_544_</v>
      </c>
      <c r="D11" s="19" t="str">
        <f ca="1">_xll.DBRW($A$1,$B$2,D$8,$A11,$B$5,$B$6,'Cash Generation'!$C$7,$B$3)</f>
        <v>RECALC_1_542_</v>
      </c>
      <c r="E11" s="19" t="str">
        <f ca="1">_xll.DBRW($A$1,$B$2,E$8,$A11,$B$5,$B$6,'Cash Generation'!$C$7,$B$3)</f>
        <v>RECALC_1_538_</v>
      </c>
    </row>
  </sheetData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F7F0-031B-41B7-AFF8-A8C884CFBE3D}">
  <dimension ref="C7:AC34"/>
  <sheetViews>
    <sheetView showGridLines="0" workbookViewId="0">
      <selection activeCell="C7" sqref="C7:M7"/>
    </sheetView>
  </sheetViews>
  <sheetFormatPr defaultRowHeight="14.4"/>
  <cols>
    <col min="2" max="28" width="4.33203125" customWidth="1"/>
  </cols>
  <sheetData>
    <row r="7" spans="3:29" ht="17.399999999999999">
      <c r="C7" s="373" t="str">
        <f ca="1">_xll.SUBNM("CONS_VC:DFS.D.Accounts_ICF","Default","Cash generation before financing")</f>
        <v>RECALC_0_87_</v>
      </c>
      <c r="D7" s="373"/>
      <c r="E7" s="373"/>
      <c r="F7" s="373"/>
      <c r="G7" s="373"/>
      <c r="H7" s="373"/>
      <c r="I7" s="373"/>
      <c r="J7" s="373"/>
      <c r="K7" s="373"/>
      <c r="L7" s="373"/>
      <c r="M7" s="373"/>
      <c r="AC7" s="54" t="s">
        <v>73</v>
      </c>
    </row>
    <row r="8" spans="3:29" ht="17.399999999999999">
      <c r="C8" s="54" t="s">
        <v>220</v>
      </c>
    </row>
    <row r="26" spans="4:21">
      <c r="E26" s="57"/>
      <c r="F26" s="58"/>
      <c r="G26" s="59"/>
      <c r="H26" s="56"/>
      <c r="I26" s="56"/>
      <c r="J26" s="57"/>
      <c r="K26" s="58"/>
      <c r="L26" s="59"/>
      <c r="M26" s="56"/>
      <c r="N26" s="57"/>
      <c r="O26" s="58"/>
      <c r="P26" s="59"/>
      <c r="Q26" s="56"/>
      <c r="R26" s="56"/>
      <c r="S26" s="57"/>
      <c r="T26" s="58"/>
      <c r="U26" s="59"/>
    </row>
    <row r="31" spans="4:21">
      <c r="D31" s="370"/>
      <c r="E31" s="370"/>
      <c r="F31" s="370"/>
      <c r="G31" s="370"/>
      <c r="H31" s="370"/>
      <c r="I31" s="370"/>
    </row>
    <row r="32" spans="4:21">
      <c r="D32" s="370"/>
      <c r="E32" s="370"/>
      <c r="F32" s="370"/>
      <c r="G32" s="370"/>
      <c r="H32" s="370"/>
      <c r="I32" s="370"/>
    </row>
    <row r="33" spans="4:9">
      <c r="D33" s="370"/>
      <c r="E33" s="370"/>
      <c r="F33" s="370"/>
      <c r="G33" s="370"/>
      <c r="H33" s="370"/>
      <c r="I33" s="370"/>
    </row>
    <row r="34" spans="4:9">
      <c r="D34" s="370"/>
      <c r="E34" s="370"/>
      <c r="F34" s="370"/>
      <c r="G34" s="370"/>
      <c r="H34" s="370"/>
      <c r="I34" s="370"/>
    </row>
  </sheetData>
  <mergeCells count="2">
    <mergeCell ref="D31:I34"/>
    <mergeCell ref="C7:M7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51C5-24DD-4753-A156-FC7608795A9B}">
  <dimension ref="A1:A31"/>
  <sheetViews>
    <sheetView workbookViewId="0">
      <selection activeCell="D21" sqref="D21"/>
    </sheetView>
  </sheetViews>
  <sheetFormatPr defaultRowHeight="14.4"/>
  <sheetData>
    <row r="1" spans="1:1">
      <c r="A1" s="2" t="s">
        <v>3</v>
      </c>
    </row>
    <row r="2" spans="1:1">
      <c r="A2" s="7" t="s">
        <v>4</v>
      </c>
    </row>
    <row r="3" spans="1:1">
      <c r="A3" s="7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8" spans="1:1">
      <c r="A8" s="2" t="s">
        <v>9</v>
      </c>
    </row>
    <row r="9" spans="1:1">
      <c r="A9" t="str">
        <f ca="1">_xll.SUBNM("CONS_VC:ALL.D.Year","","2025")</f>
        <v>RECALC_0_7_</v>
      </c>
    </row>
    <row r="11" spans="1:1">
      <c r="A11" s="2" t="s">
        <v>10</v>
      </c>
    </row>
    <row r="12" spans="1:1">
      <c r="A12" t="str">
        <f ca="1">_xll.SUBNM("CONS_VC:ALL.D.Month",,"Total YTD","MEMBER_NAME")</f>
        <v>RECALC_0_9_</v>
      </c>
    </row>
    <row r="13" spans="1:1">
      <c r="A13" t="str">
        <f ca="1">_xll.SUBNM("CONS_VC:ALL.D.Month",,"Year","MEMBER_NAME")</f>
        <v>RECALC_0_10_</v>
      </c>
    </row>
    <row r="15" spans="1:1">
      <c r="A15" s="2" t="s">
        <v>11</v>
      </c>
    </row>
    <row r="18" spans="1:1">
      <c r="A18" s="2" t="s">
        <v>12</v>
      </c>
    </row>
    <row r="19" spans="1:1">
      <c r="A19" t="str">
        <f ca="1">_xll.SUBNM("CONS_VC:ALL.D.Currency","","BRL")</f>
        <v>RECALC_0_8_</v>
      </c>
    </row>
    <row r="21" spans="1:1">
      <c r="A21" s="2" t="s">
        <v>13</v>
      </c>
    </row>
    <row r="22" spans="1:1">
      <c r="A22" t="str">
        <f ca="1">_xll.SUBNM("CONS_VC:ALL.D.Region","","VCBR")</f>
        <v>RECALC_0_6_</v>
      </c>
    </row>
    <row r="24" spans="1:1">
      <c r="A24" s="2" t="s">
        <v>14</v>
      </c>
    </row>
    <row r="25" spans="1:1">
      <c r="A25" t="str">
        <f ca="1">_xll.SUBNM("CONS_VC:ALL.D.Products","","Total Products")</f>
        <v>RECALC_0_11_</v>
      </c>
    </row>
    <row r="27" spans="1:1">
      <c r="A27" s="2" t="s">
        <v>15</v>
      </c>
    </row>
    <row r="28" spans="1:1">
      <c r="A28" t="s">
        <v>16</v>
      </c>
    </row>
    <row r="30" spans="1:1">
      <c r="A30" s="2" t="s">
        <v>135</v>
      </c>
    </row>
    <row r="31" spans="1:1">
      <c r="A31" t="s">
        <v>118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9E49-A1F8-45B2-8965-DE8ECC8EAF91}">
  <dimension ref="A1:D60"/>
  <sheetViews>
    <sheetView workbookViewId="0">
      <selection activeCell="D21" sqref="D21"/>
    </sheetView>
  </sheetViews>
  <sheetFormatPr defaultRowHeight="14.4"/>
  <cols>
    <col min="1" max="1" width="55.33203125" bestFit="1" customWidth="1"/>
    <col min="2" max="4" width="14.5546875" bestFit="1" customWidth="1"/>
  </cols>
  <sheetData>
    <row r="1" spans="1:2">
      <c r="A1" s="17" t="str">
        <f ca="1">_xll.VIEW("CONS_VC:DFS.100.Profit_and_Loss",'Value Tree TESTE'!$F$3,"!",'Value Tree TESTE'!$H$3,'Value Tree TESTE'!$F$4,'Value Tree TESTE'!$H$4,$B$7,"!",$B$3)</f>
        <v>CONS_VC:DFS.100.Profit_and_Loss:2057671061844175</v>
      </c>
      <c r="B1" s="16"/>
    </row>
    <row r="2" spans="1:2">
      <c r="A2" s="18" t="s">
        <v>38</v>
      </c>
      <c r="B2" s="51"/>
    </row>
    <row r="3" spans="1:2">
      <c r="A3" s="18" t="s">
        <v>62</v>
      </c>
      <c r="B3" s="23" t="str">
        <f ca="1">_xll.SUBNM("CONS_VC:DFS.M.100.Profit_and_Loss","","Value")</f>
        <v>RECALC_0_122_</v>
      </c>
    </row>
    <row r="4" spans="1:2">
      <c r="A4" s="18" t="s">
        <v>63</v>
      </c>
      <c r="B4" s="51"/>
    </row>
    <row r="5" spans="1:2">
      <c r="A5" s="18" t="s">
        <v>40</v>
      </c>
      <c r="B5" s="51"/>
    </row>
    <row r="6" spans="1:2">
      <c r="A6" s="18" t="s">
        <v>41</v>
      </c>
      <c r="B6" s="51"/>
    </row>
    <row r="7" spans="1:2">
      <c r="A7" s="18" t="s">
        <v>39</v>
      </c>
      <c r="B7" s="23" t="str">
        <f ca="1">_xll.SUBNM("CONS_VC:ALL.D.Products","","Total Products")</f>
        <v>RECALC_0_11_</v>
      </c>
    </row>
    <row r="9" spans="1:2" ht="15" thickBot="1">
      <c r="B9" s="20" t="s">
        <v>67</v>
      </c>
    </row>
    <row r="10" spans="1:2">
      <c r="A10" s="60" t="s">
        <v>16</v>
      </c>
    </row>
    <row r="12" spans="1:2">
      <c r="A12" s="17" t="str">
        <f ca="1">_xll.VIEW("CONS_VC:DFS.140.Indirect_Cash_Flow",$B$13,$B$14,$B$15,$B$16,$B$17,"!","!")</f>
        <v>CONS_VC:DFS.140.Indirect_Cash_Flow:2057671061262658909</v>
      </c>
      <c r="B12" s="16"/>
    </row>
    <row r="13" spans="1:2">
      <c r="A13" s="18" t="s">
        <v>38</v>
      </c>
      <c r="B13" s="16" t="str">
        <f ca="1">_xll.SUBNM("CONS_VC:ALL.D.Year","","2025")</f>
        <v>RECALC_0_7_</v>
      </c>
    </row>
    <row r="14" spans="1:2">
      <c r="A14" s="18" t="s">
        <v>136</v>
      </c>
      <c r="B14" s="16" t="str">
        <f ca="1">_xll.SUBNM("CONS_VC:ALL.D.Month","Default","Jan","Desc")</f>
        <v>RECALC_0_45_</v>
      </c>
    </row>
    <row r="15" spans="1:2">
      <c r="A15" s="18" t="s">
        <v>63</v>
      </c>
      <c r="B15" s="16" t="str">
        <f ca="1">_xll.SUBNM("CONS_VC:ALL.D.Version","","T4")</f>
        <v>RECALC_0_30_</v>
      </c>
    </row>
    <row r="16" spans="1:2">
      <c r="A16" s="18" t="s">
        <v>40</v>
      </c>
      <c r="B16" s="16" t="str">
        <f ca="1">_xll.SUBNM("CONS_VC:ALL.D.Currency","","BRL")</f>
        <v>RECALC_0_8_</v>
      </c>
    </row>
    <row r="17" spans="1:4">
      <c r="A17" s="18" t="s">
        <v>41</v>
      </c>
      <c r="B17" s="16" t="str">
        <f ca="1">_xll.SUBNM("CONS_VC:ALL.D.Region","","VCBR")</f>
        <v>RECALC_0_6_</v>
      </c>
    </row>
    <row r="19" spans="1:4" ht="15" thickBot="1">
      <c r="A19" s="21"/>
      <c r="B19" s="20" t="s">
        <v>119</v>
      </c>
      <c r="C19" s="20" t="s">
        <v>118</v>
      </c>
      <c r="D19" s="20" t="s">
        <v>137</v>
      </c>
    </row>
    <row r="20" spans="1:4">
      <c r="A20" s="60" t="s">
        <v>138</v>
      </c>
      <c r="B20" s="19" t="str">
        <f ca="1">_xll.DBRW($A$12,$B$13,$B$14,$B$15,$B$16,$B$17,$A20,B$19)</f>
        <v>RECALC_1_428_</v>
      </c>
      <c r="C20" s="19" t="str">
        <f ca="1">_xll.DBRW($A$12,$B$13,$B$14,$B$15,$B$16,$B$17,$A20,C$19)</f>
        <v>RECALC_1_460_</v>
      </c>
      <c r="D20" s="19" t="str">
        <f ca="1">_xll.DBRW($A$12,$B$13,$B$14,$B$15,$B$16,$B$17,$A20,D$19)</f>
        <v>RECALC_1_392_</v>
      </c>
    </row>
    <row r="21" spans="1:4">
      <c r="A21" s="60" t="s">
        <v>139</v>
      </c>
      <c r="B21" s="19" t="str">
        <f ca="1">_xll.DBRW($A$12,$B$13,$B$14,$B$15,$B$16,$B$17,$A21,B$19)</f>
        <v>RECALC_1_268_</v>
      </c>
      <c r="C21" s="19" t="str">
        <f ca="1">_xll.DBRW($A$12,$B$13,$B$14,$B$15,$B$16,$B$17,$A21,C$19)</f>
        <v>RECALC_1_212_</v>
      </c>
      <c r="D21" s="19" t="str">
        <f ca="1">_xll.DBRW($A$12,$B$13,$B$14,$B$15,$B$16,$B$17,$A21,D$19)</f>
        <v>RECALC_1_344_</v>
      </c>
    </row>
    <row r="22" spans="1:4">
      <c r="A22" s="60" t="s">
        <v>140</v>
      </c>
      <c r="B22" s="19" t="str">
        <f ca="1">_xll.DBRW($A$12,$B$13,$B$14,$B$15,$B$16,$B$17,$A22,B$19)</f>
        <v>RECALC_1_335_</v>
      </c>
      <c r="C22" s="19" t="str">
        <f ca="1">_xll.DBRW($A$12,$B$13,$B$14,$B$15,$B$16,$B$17,$A22,C$19)</f>
        <v>RECALC_1_258_</v>
      </c>
      <c r="D22" s="19" t="str">
        <f ca="1">_xll.DBRW($A$12,$B$13,$B$14,$B$15,$B$16,$B$17,$A22,D$19)</f>
        <v>RECALC_1_438_</v>
      </c>
    </row>
    <row r="23" spans="1:4">
      <c r="A23" s="60" t="s">
        <v>141</v>
      </c>
      <c r="B23" s="19" t="str">
        <f ca="1">_xll.DBRW($A$12,$B$13,$B$14,$B$15,$B$16,$B$17,$A23,B$19)</f>
        <v>RECALC_1_407_</v>
      </c>
      <c r="C23" s="19" t="str">
        <f ca="1">_xll.DBRW($A$12,$B$13,$B$14,$B$15,$B$16,$B$17,$A23,C$19)</f>
        <v>RECALC_1_482_</v>
      </c>
      <c r="D23" s="19" t="str">
        <f ca="1">_xll.DBRW($A$12,$B$13,$B$14,$B$15,$B$16,$B$17,$A23,D$19)</f>
        <v>RECALC_1_440_</v>
      </c>
    </row>
    <row r="24" spans="1:4">
      <c r="A24" s="60" t="s">
        <v>142</v>
      </c>
      <c r="B24" s="19" t="str">
        <f ca="1">_xll.DBRW($A$12,$B$13,$B$14,$B$15,$B$16,$B$17,$A24,B$19)</f>
        <v>RECALC_1_474_</v>
      </c>
      <c r="C24" s="19" t="str">
        <f ca="1">_xll.DBRW($A$12,$B$13,$B$14,$B$15,$B$16,$B$17,$A24,C$19)</f>
        <v>RECALC_1_437_</v>
      </c>
      <c r="D24" s="19" t="str">
        <f ca="1">_xll.DBRW($A$12,$B$13,$B$14,$B$15,$B$16,$B$17,$A24,D$19)</f>
        <v>RECALC_1_316_</v>
      </c>
    </row>
    <row r="25" spans="1:4">
      <c r="A25" s="60" t="s">
        <v>143</v>
      </c>
      <c r="B25" s="19" t="str">
        <f ca="1">_xll.DBRW($A$12,$B$13,$B$14,$B$15,$B$16,$B$17,$A25,B$19)</f>
        <v>RECALC_1_485_</v>
      </c>
      <c r="C25" s="19" t="str">
        <f ca="1">_xll.DBRW($A$12,$B$13,$B$14,$B$15,$B$16,$B$17,$A25,C$19)</f>
        <v>RECALC_1_176_</v>
      </c>
      <c r="D25" s="19" t="str">
        <f ca="1">_xll.DBRW($A$12,$B$13,$B$14,$B$15,$B$16,$B$17,$A25,D$19)</f>
        <v>RECALC_1_424_</v>
      </c>
    </row>
    <row r="26" spans="1:4">
      <c r="A26" s="22" t="s">
        <v>144</v>
      </c>
      <c r="B26" s="19" t="str">
        <f ca="1">_xll.DBRW($A$12,$B$13,$B$14,$B$15,$B$16,$B$17,$A26,B$19)</f>
        <v>RECALC_1_373_</v>
      </c>
      <c r="C26" s="19" t="str">
        <f ca="1">_xll.DBRW($A$12,$B$13,$B$14,$B$15,$B$16,$B$17,$A26,C$19)</f>
        <v>RECALC_1_224_</v>
      </c>
      <c r="D26" s="19" t="str">
        <f ca="1">_xll.DBRW($A$12,$B$13,$B$14,$B$15,$B$16,$B$17,$A26,D$19)</f>
        <v>RECALC_1_315_</v>
      </c>
    </row>
    <row r="27" spans="1:4">
      <c r="A27" s="22" t="s">
        <v>145</v>
      </c>
      <c r="B27" s="19" t="str">
        <f ca="1">_xll.DBRW($A$12,$B$13,$B$14,$B$15,$B$16,$B$17,$A27,B$19)</f>
        <v>RECALC_1_473_</v>
      </c>
      <c r="C27" s="19" t="str">
        <f ca="1">_xll.DBRW($A$12,$B$13,$B$14,$B$15,$B$16,$B$17,$A27,C$19)</f>
        <v>RECALC_1_188_</v>
      </c>
      <c r="D27" s="19" t="str">
        <f ca="1">_xll.DBRW($A$12,$B$13,$B$14,$B$15,$B$16,$B$17,$A27,D$19)</f>
        <v>RECALC_1_365_</v>
      </c>
    </row>
    <row r="28" spans="1:4">
      <c r="A28" s="22" t="s">
        <v>146</v>
      </c>
      <c r="B28" s="19" t="str">
        <f ca="1">_xll.DBRW($A$12,$B$13,$B$14,$B$15,$B$16,$B$17,$A28,B$19)</f>
        <v>RECALC_1_475_</v>
      </c>
      <c r="C28" s="19" t="str">
        <f ca="1">_xll.DBRW($A$12,$B$13,$B$14,$B$15,$B$16,$B$17,$A28,C$19)</f>
        <v>RECALC_1_297_</v>
      </c>
      <c r="D28" s="19" t="str">
        <f ca="1">_xll.DBRW($A$12,$B$13,$B$14,$B$15,$B$16,$B$17,$A28,D$19)</f>
        <v>RECALC_1_468_</v>
      </c>
    </row>
    <row r="29" spans="1:4">
      <c r="A29" s="22" t="s">
        <v>147</v>
      </c>
      <c r="B29" s="19" t="str">
        <f ca="1">_xll.DBRW($A$12,$B$13,$B$14,$B$15,$B$16,$B$17,$A29,B$19)</f>
        <v>RECALC_1_251_</v>
      </c>
      <c r="C29" s="19" t="str">
        <f ca="1">_xll.DBRW($A$12,$B$13,$B$14,$B$15,$B$16,$B$17,$A29,C$19)</f>
        <v>RECALC_1_226_</v>
      </c>
      <c r="D29" s="19" t="str">
        <f ca="1">_xll.DBRW($A$12,$B$13,$B$14,$B$15,$B$16,$B$17,$A29,D$19)</f>
        <v>RECALC_1_304_</v>
      </c>
    </row>
    <row r="30" spans="1:4">
      <c r="A30" s="22" t="s">
        <v>148</v>
      </c>
      <c r="B30" s="19" t="str">
        <f ca="1">_xll.DBRW($A$12,$B$13,$B$14,$B$15,$B$16,$B$17,$A30,B$19)</f>
        <v>RECALC_1_278_</v>
      </c>
      <c r="C30" s="19" t="str">
        <f ca="1">_xll.DBRW($A$12,$B$13,$B$14,$B$15,$B$16,$B$17,$A30,C$19)</f>
        <v>RECALC_1_326_</v>
      </c>
      <c r="D30" s="19" t="str">
        <f ca="1">_xll.DBRW($A$12,$B$13,$B$14,$B$15,$B$16,$B$17,$A30,D$19)</f>
        <v>RECALC_1_423_</v>
      </c>
    </row>
    <row r="31" spans="1:4">
      <c r="A31" s="60" t="s">
        <v>149</v>
      </c>
      <c r="B31" s="19" t="str">
        <f ca="1">_xll.DBRW($A$12,$B$13,$B$14,$B$15,$B$16,$B$17,$A31,B$19)</f>
        <v>RECALC_1_400_</v>
      </c>
      <c r="C31" s="19" t="str">
        <f ca="1">_xll.DBRW($A$12,$B$13,$B$14,$B$15,$B$16,$B$17,$A31,C$19)</f>
        <v>RECALC_1_217_</v>
      </c>
      <c r="D31" s="19" t="str">
        <f ca="1">_xll.DBRW($A$12,$B$13,$B$14,$B$15,$B$16,$B$17,$A31,D$19)</f>
        <v>RECALC_1_168_</v>
      </c>
    </row>
    <row r="32" spans="1:4">
      <c r="A32" s="60" t="s">
        <v>150</v>
      </c>
      <c r="B32" s="19" t="str">
        <f ca="1">_xll.DBRW($A$12,$B$13,$B$14,$B$15,$B$16,$B$17,$A32,B$19)</f>
        <v>RECALC_1_329_</v>
      </c>
      <c r="C32" s="19" t="str">
        <f ca="1">_xll.DBRW($A$12,$B$13,$B$14,$B$15,$B$16,$B$17,$A32,C$19)</f>
        <v>RECALC_1_293_</v>
      </c>
      <c r="D32" s="19" t="str">
        <f ca="1">_xll.DBRW($A$12,$B$13,$B$14,$B$15,$B$16,$B$17,$A32,D$19)</f>
        <v>RECALC_1_273_</v>
      </c>
    </row>
    <row r="33" spans="1:4">
      <c r="A33" s="60" t="s">
        <v>151</v>
      </c>
      <c r="B33" s="19" t="str">
        <f ca="1">_xll.DBRW($A$12,$B$13,$B$14,$B$15,$B$16,$B$17,$A33,B$19)</f>
        <v>RECALC_1_401_</v>
      </c>
      <c r="C33" s="19" t="str">
        <f ca="1">_xll.DBRW($A$12,$B$13,$B$14,$B$15,$B$16,$B$17,$A33,C$19)</f>
        <v>RECALC_1_285_</v>
      </c>
      <c r="D33" s="19" t="str">
        <f ca="1">_xll.DBRW($A$12,$B$13,$B$14,$B$15,$B$16,$B$17,$A33,D$19)</f>
        <v>RECALC_1_173_</v>
      </c>
    </row>
    <row r="34" spans="1:4">
      <c r="A34" s="60" t="s">
        <v>152</v>
      </c>
      <c r="B34" s="19" t="str">
        <f ca="1">_xll.DBRW($A$12,$B$13,$B$14,$B$15,$B$16,$B$17,$A34,B$19)</f>
        <v>RECALC_1_367_</v>
      </c>
      <c r="C34" s="19" t="str">
        <f ca="1">_xll.DBRW($A$12,$B$13,$B$14,$B$15,$B$16,$B$17,$A34,C$19)</f>
        <v>RECALC_1_490_</v>
      </c>
      <c r="D34" s="19" t="str">
        <f ca="1">_xll.DBRW($A$12,$B$13,$B$14,$B$15,$B$16,$B$17,$A34,D$19)</f>
        <v>RECALC_1_441_</v>
      </c>
    </row>
    <row r="35" spans="1:4">
      <c r="A35" s="60" t="s">
        <v>153</v>
      </c>
      <c r="B35" s="19" t="str">
        <f ca="1">_xll.DBRW($A$12,$B$13,$B$14,$B$15,$B$16,$B$17,$A35,B$19)</f>
        <v>RECALC_1_370_</v>
      </c>
      <c r="C35" s="19" t="str">
        <f ca="1">_xll.DBRW($A$12,$B$13,$B$14,$B$15,$B$16,$B$17,$A35,C$19)</f>
        <v>RECALC_1_190_</v>
      </c>
      <c r="D35" s="19" t="str">
        <f ca="1">_xll.DBRW($A$12,$B$13,$B$14,$B$15,$B$16,$B$17,$A35,D$19)</f>
        <v>RECALC_1_233_</v>
      </c>
    </row>
    <row r="36" spans="1:4">
      <c r="A36" s="60" t="s">
        <v>154</v>
      </c>
      <c r="B36" s="19" t="str">
        <f ca="1">_xll.DBRW($A$12,$B$13,$B$14,$B$15,$B$16,$B$17,$A36,B$19)</f>
        <v>RECALC_1_430_</v>
      </c>
      <c r="C36" s="19" t="str">
        <f ca="1">_xll.DBRW($A$12,$B$13,$B$14,$B$15,$B$16,$B$17,$A36,C$19)</f>
        <v>RECALC_1_232_</v>
      </c>
      <c r="D36" s="19" t="str">
        <f ca="1">_xll.DBRW($A$12,$B$13,$B$14,$B$15,$B$16,$B$17,$A36,D$19)</f>
        <v>RECALC_1_444_</v>
      </c>
    </row>
    <row r="37" spans="1:4">
      <c r="A37" s="60" t="s">
        <v>155</v>
      </c>
      <c r="B37" s="19" t="str">
        <f ca="1">_xll.DBRW($A$12,$B$13,$B$14,$B$15,$B$16,$B$17,$A37,B$19)</f>
        <v>RECALC_1_390_</v>
      </c>
      <c r="C37" s="19" t="str">
        <f ca="1">_xll.DBRW($A$12,$B$13,$B$14,$B$15,$B$16,$B$17,$A37,C$19)</f>
        <v>RECALC_1_203_</v>
      </c>
      <c r="D37" s="19" t="str">
        <f ca="1">_xll.DBRW($A$12,$B$13,$B$14,$B$15,$B$16,$B$17,$A37,D$19)</f>
        <v>RECALC_1_196_</v>
      </c>
    </row>
    <row r="38" spans="1:4">
      <c r="A38" s="60" t="s">
        <v>156</v>
      </c>
      <c r="B38" s="19" t="str">
        <f ca="1">_xll.DBRW($A$12,$B$13,$B$14,$B$15,$B$16,$B$17,$A38,B$19)</f>
        <v>RECALC_1_492_</v>
      </c>
      <c r="C38" s="19" t="str">
        <f ca="1">_xll.DBRW($A$12,$B$13,$B$14,$B$15,$B$16,$B$17,$A38,C$19)</f>
        <v>RECALC_1_174_</v>
      </c>
      <c r="D38" s="19" t="str">
        <f ca="1">_xll.DBRW($A$12,$B$13,$B$14,$B$15,$B$16,$B$17,$A38,D$19)</f>
        <v>RECALC_1_433_</v>
      </c>
    </row>
    <row r="39" spans="1:4">
      <c r="A39" s="22" t="s">
        <v>157</v>
      </c>
      <c r="B39" s="19" t="str">
        <f ca="1">_xll.DBRW($A$12,$B$13,$B$14,$B$15,$B$16,$B$17,$A39,B$19)</f>
        <v>RECALC_1_435_</v>
      </c>
      <c r="C39" s="19" t="str">
        <f ca="1">_xll.DBRW($A$12,$B$13,$B$14,$B$15,$B$16,$B$17,$A39,C$19)</f>
        <v>RECALC_1_449_</v>
      </c>
      <c r="D39" s="19" t="str">
        <f ca="1">_xll.DBRW($A$12,$B$13,$B$14,$B$15,$B$16,$B$17,$A39,D$19)</f>
        <v>RECALC_1_199_</v>
      </c>
    </row>
    <row r="40" spans="1:4">
      <c r="A40" s="22" t="s">
        <v>65</v>
      </c>
      <c r="B40" s="19" t="str">
        <f ca="1">_xll.DBRW($A$12,$B$13,$B$14,$B$15,$B$16,$B$17,$A40,B$19)</f>
        <v>RECALC_1_452_</v>
      </c>
      <c r="C40" s="19" t="str">
        <f ca="1">_xll.DBRW($A$12,$B$13,$B$14,$B$15,$B$16,$B$17,$A40,C$19)</f>
        <v>RECALC_1_312_</v>
      </c>
      <c r="D40" s="19" t="str">
        <f ca="1">_xll.DBRW($A$12,$B$13,$B$14,$B$15,$B$16,$B$17,$A40,D$19)</f>
        <v>RECALC_1_313_</v>
      </c>
    </row>
    <row r="41" spans="1:4">
      <c r="A41" s="60" t="s">
        <v>158</v>
      </c>
      <c r="B41" s="19" t="str">
        <f ca="1">_xll.DBRW($A$12,$B$13,$B$14,$B$15,$B$16,$B$17,$A41,B$19)</f>
        <v>RECALC_1_218_</v>
      </c>
      <c r="C41" s="19" t="str">
        <f ca="1">_xll.DBRW($A$12,$B$13,$B$14,$B$15,$B$16,$B$17,$A41,C$19)</f>
        <v>RECALC_1_207_</v>
      </c>
      <c r="D41" s="19" t="str">
        <f ca="1">_xll.DBRW($A$12,$B$13,$B$14,$B$15,$B$16,$B$17,$A41,D$19)</f>
        <v>RECALC_1_464_</v>
      </c>
    </row>
    <row r="42" spans="1:4">
      <c r="A42" s="60" t="s">
        <v>159</v>
      </c>
      <c r="B42" s="19" t="str">
        <f ca="1">_xll.DBRW($A$12,$B$13,$B$14,$B$15,$B$16,$B$17,$A42,B$19)</f>
        <v>RECALC_1_366_</v>
      </c>
      <c r="C42" s="19" t="str">
        <f ca="1">_xll.DBRW($A$12,$B$13,$B$14,$B$15,$B$16,$B$17,$A42,C$19)</f>
        <v>RECALC_1_454_</v>
      </c>
      <c r="D42" s="19" t="str">
        <f ca="1">_xll.DBRW($A$12,$B$13,$B$14,$B$15,$B$16,$B$17,$A42,D$19)</f>
        <v>RECALC_1_324_</v>
      </c>
    </row>
    <row r="43" spans="1:4">
      <c r="A43" s="60" t="s">
        <v>160</v>
      </c>
      <c r="B43" s="19" t="str">
        <f ca="1">_xll.DBRW($A$12,$B$13,$B$14,$B$15,$B$16,$B$17,$A43,B$19)</f>
        <v>RECALC_1_434_</v>
      </c>
      <c r="C43" s="19" t="str">
        <f ca="1">_xll.DBRW($A$12,$B$13,$B$14,$B$15,$B$16,$B$17,$A43,C$19)</f>
        <v>RECALC_1_448_</v>
      </c>
      <c r="D43" s="19" t="str">
        <f ca="1">_xll.DBRW($A$12,$B$13,$B$14,$B$15,$B$16,$B$17,$A43,D$19)</f>
        <v>RECALC_1_393_</v>
      </c>
    </row>
    <row r="44" spans="1:4">
      <c r="A44" s="60" t="s">
        <v>161</v>
      </c>
      <c r="B44" s="19" t="str">
        <f ca="1">_xll.DBRW($A$12,$B$13,$B$14,$B$15,$B$16,$B$17,$A44,B$19)</f>
        <v>RECALC_1_381_</v>
      </c>
      <c r="C44" s="19" t="str">
        <f ca="1">_xll.DBRW($A$12,$B$13,$B$14,$B$15,$B$16,$B$17,$A44,C$19)</f>
        <v>RECALC_1_271_</v>
      </c>
      <c r="D44" s="19" t="str">
        <f ca="1">_xll.DBRW($A$12,$B$13,$B$14,$B$15,$B$16,$B$17,$A44,D$19)</f>
        <v>RECALC_1_206_</v>
      </c>
    </row>
    <row r="45" spans="1:4">
      <c r="A45" s="60" t="s">
        <v>18</v>
      </c>
      <c r="C45" s="19" t="str">
        <f ca="1">_xll.DBRW($A$12,$B$13,$B$14,$B$15,$B$16,$B$17,$A45,C$19)</f>
        <v>RECALC_1_261_</v>
      </c>
      <c r="D45" s="19" t="str">
        <f ca="1">_xll.DBRW($A$12,$B$13,$B$14,$B$15,$B$16,$B$17,$A45,D$19)</f>
        <v>RECALC_1_353_</v>
      </c>
    </row>
    <row r="46" spans="1:4">
      <c r="A46" s="60" t="s">
        <v>162</v>
      </c>
      <c r="B46" s="19" t="str">
        <f ca="1">_xll.DBRW($A$12,$B$13,$B$14,$B$15,$B$16,$B$17,$A46,B$19)</f>
        <v>RECALC_1_185_</v>
      </c>
      <c r="C46" s="19" t="str">
        <f ca="1">_xll.DBRW($A$12,$B$13,$B$14,$B$15,$B$16,$B$17,$A46,C$19)</f>
        <v>RECALC_1_413_</v>
      </c>
      <c r="D46" s="19" t="str">
        <f ca="1">_xll.DBRW($A$12,$B$13,$B$14,$B$15,$B$16,$B$17,$A46,D$19)</f>
        <v>RECALC_1_361_</v>
      </c>
    </row>
    <row r="47" spans="1:4">
      <c r="A47" s="60" t="s">
        <v>163</v>
      </c>
      <c r="B47" s="19" t="str">
        <f ca="1">_xll.DBRW($A$12,$B$13,$B$14,$B$15,$B$16,$B$17,$A47,B$19)</f>
        <v>RECALC_1_230_</v>
      </c>
      <c r="C47" s="19" t="str">
        <f ca="1">_xll.DBRW($A$12,$B$13,$B$14,$B$15,$B$16,$B$17,$A47,C$19)</f>
        <v>RECALC_1_331_</v>
      </c>
      <c r="D47" s="19" t="str">
        <f ca="1">_xll.DBRW($A$12,$B$13,$B$14,$B$15,$B$16,$B$17,$A47,D$19)</f>
        <v>RECALC_1_219_</v>
      </c>
    </row>
    <row r="48" spans="1:4">
      <c r="A48" s="60" t="s">
        <v>164</v>
      </c>
      <c r="B48" s="19" t="str">
        <f ca="1">_xll.DBRW($A$12,$B$13,$B$14,$B$15,$B$16,$B$17,$A48,B$19)</f>
        <v>RECALC_1_355_</v>
      </c>
      <c r="C48" s="19" t="str">
        <f ca="1">_xll.DBRW($A$12,$B$13,$B$14,$B$15,$B$16,$B$17,$A48,C$19)</f>
        <v>RECALC_1_254_</v>
      </c>
      <c r="D48" s="19" t="str">
        <f ca="1">_xll.DBRW($A$12,$B$13,$B$14,$B$15,$B$16,$B$17,$A48,D$19)</f>
        <v>RECALC_1_457_</v>
      </c>
    </row>
    <row r="49" spans="1:4">
      <c r="A49" s="60" t="s">
        <v>165</v>
      </c>
      <c r="B49" s="19" t="str">
        <f ca="1">_xll.DBRW($A$12,$B$13,$B$14,$B$15,$B$16,$B$17,$A49,B$19)</f>
        <v>RECALC_1_402_</v>
      </c>
      <c r="C49" s="19" t="str">
        <f ca="1">_xll.DBRW($A$12,$B$13,$B$14,$B$15,$B$16,$B$17,$A49,C$19)</f>
        <v>RECALC_1_463_</v>
      </c>
      <c r="D49" s="19" t="str">
        <f ca="1">_xll.DBRW($A$12,$B$13,$B$14,$B$15,$B$16,$B$17,$A49,D$19)</f>
        <v>RECALC_1_272_</v>
      </c>
    </row>
    <row r="50" spans="1:4">
      <c r="A50" s="60" t="s">
        <v>166</v>
      </c>
      <c r="B50" s="19" t="str">
        <f ca="1">_xll.DBRW($A$12,$B$13,$B$14,$B$15,$B$16,$B$17,$A50,B$19)</f>
        <v>RECALC_1_264_</v>
      </c>
      <c r="C50" s="19" t="str">
        <f ca="1">_xll.DBRW($A$12,$B$13,$B$14,$B$15,$B$16,$B$17,$A50,C$19)</f>
        <v>RECALC_1_253_</v>
      </c>
      <c r="D50" s="19" t="str">
        <f ca="1">_xll.DBRW($A$12,$B$13,$B$14,$B$15,$B$16,$B$17,$A50,D$19)</f>
        <v>RECALC_1_169_</v>
      </c>
    </row>
    <row r="51" spans="1:4">
      <c r="A51" s="60" t="s">
        <v>167</v>
      </c>
      <c r="B51" s="19" t="str">
        <f ca="1">_xll.DBRW($A$12,$B$13,$B$14,$B$15,$B$16,$B$17,$A51,B$19)</f>
        <v>RECALC_1_340_</v>
      </c>
      <c r="C51" s="19" t="str">
        <f ca="1">_xll.DBRW($A$12,$B$13,$B$14,$B$15,$B$16,$B$17,$A51,C$19)</f>
        <v>RECALC_1_209_</v>
      </c>
      <c r="D51" s="19" t="str">
        <f ca="1">_xll.DBRW($A$12,$B$13,$B$14,$B$15,$B$16,$B$17,$A51,D$19)</f>
        <v>RECALC_1_414_</v>
      </c>
    </row>
    <row r="52" spans="1:4">
      <c r="A52" s="60" t="s">
        <v>168</v>
      </c>
      <c r="B52" s="19" t="str">
        <f ca="1">_xll.DBRW($A$12,$B$13,$B$14,$B$15,$B$16,$B$17,$A52,B$19)</f>
        <v>RECALC_1_374_</v>
      </c>
      <c r="C52" s="19" t="str">
        <f ca="1">_xll.DBRW($A$12,$B$13,$B$14,$B$15,$B$16,$B$17,$A52,C$19)</f>
        <v>RECALC_1_421_</v>
      </c>
      <c r="D52" s="19" t="str">
        <f ca="1">_xll.DBRW($A$12,$B$13,$B$14,$B$15,$B$16,$B$17,$A52,D$19)</f>
        <v>RECALC_1_443_</v>
      </c>
    </row>
    <row r="53" spans="1:4">
      <c r="A53" s="60" t="s">
        <v>169</v>
      </c>
      <c r="B53" s="19" t="str">
        <f ca="1">_xll.DBRW($A$12,$B$13,$B$14,$B$15,$B$16,$B$17,$A53,B$19)</f>
        <v>RECALC_1_358_</v>
      </c>
      <c r="C53" s="19" t="str">
        <f ca="1">_xll.DBRW($A$12,$B$13,$B$14,$B$15,$B$16,$B$17,$A53,C$19)</f>
        <v>RECALC_1_229_</v>
      </c>
      <c r="D53" s="19" t="str">
        <f ca="1">_xll.DBRW($A$12,$B$13,$B$14,$B$15,$B$16,$B$17,$A53,D$19)</f>
        <v>RECALC_1_493_</v>
      </c>
    </row>
    <row r="54" spans="1:4">
      <c r="A54" s="60" t="s">
        <v>170</v>
      </c>
      <c r="B54" s="19" t="str">
        <f ca="1">_xll.DBRW($A$12,$B$13,$B$14,$B$15,$B$16,$B$17,$A54,B$19)</f>
        <v>RECALC_1_284_</v>
      </c>
      <c r="C54" s="19" t="str">
        <f ca="1">_xll.DBRW($A$12,$B$13,$B$14,$B$15,$B$16,$B$17,$A54,C$19)</f>
        <v>RECALC_1_282_</v>
      </c>
      <c r="D54" s="19" t="str">
        <f ca="1">_xll.DBRW($A$12,$B$13,$B$14,$B$15,$B$16,$B$17,$A54,D$19)</f>
        <v>RECALC_1_262_</v>
      </c>
    </row>
    <row r="56" spans="1:4">
      <c r="A56" s="182" t="s">
        <v>4</v>
      </c>
    </row>
    <row r="57" spans="1:4">
      <c r="A57" s="182" t="s">
        <v>5</v>
      </c>
    </row>
    <row r="58" spans="1:4">
      <c r="A58" t="s">
        <v>6</v>
      </c>
    </row>
    <row r="59" spans="1:4">
      <c r="A59" t="s">
        <v>7</v>
      </c>
    </row>
    <row r="60" spans="1:4">
      <c r="A60" t="s">
        <v>8</v>
      </c>
    </row>
  </sheetData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C840-2E94-4DBC-9678-A9342C23D74E}">
  <dimension ref="A1:C58"/>
  <sheetViews>
    <sheetView workbookViewId="0">
      <selection activeCell="D21" sqref="D21"/>
    </sheetView>
  </sheetViews>
  <sheetFormatPr defaultRowHeight="14.4"/>
  <cols>
    <col min="1" max="1" width="41.44140625" bestFit="1" customWidth="1"/>
    <col min="2" max="3" width="14.5546875" bestFit="1" customWidth="1"/>
  </cols>
  <sheetData>
    <row r="1" spans="1:3">
      <c r="A1" s="17" t="str">
        <f ca="1">_xll.VIEW("CONS_VC:DFS.200.KPIs",$B$2,$B$3,$B$4,$B$5,$B$6,$B$7,"!","!")</f>
        <v>CONS_VC:DFS.200.KPIs:205767106-1430385332</v>
      </c>
      <c r="B1" s="16"/>
    </row>
    <row r="2" spans="1:3">
      <c r="A2" s="18" t="s">
        <v>38</v>
      </c>
      <c r="B2" s="23" t="str">
        <f ca="1">_xll.SUBNM("CONS_VC:ALL.D.Year","","2025")</f>
        <v>RECALC_0_7_</v>
      </c>
    </row>
    <row r="3" spans="1:3">
      <c r="A3" s="18" t="s">
        <v>136</v>
      </c>
      <c r="B3" s="23" t="str">
        <f ca="1">_xll.SUBNM("CONS_VC:ALL.D.Month","Default","Jan","Desc")</f>
        <v>RECALC_0_45_</v>
      </c>
    </row>
    <row r="4" spans="1:3">
      <c r="A4" s="18" t="s">
        <v>63</v>
      </c>
      <c r="B4" s="23" t="str">
        <f ca="1">_xll.SUBNM("CONS_VC:ALL.D.Version","","T4")</f>
        <v>RECALC_0_30_</v>
      </c>
    </row>
    <row r="5" spans="1:3">
      <c r="A5" s="18" t="s">
        <v>40</v>
      </c>
      <c r="B5" s="23" t="str">
        <f ca="1">_xll.SUBNM("CONS_VC:ALL.D.Currency","Default","BRL","MEMBER_NAME")</f>
        <v>RECALC_0_33_</v>
      </c>
    </row>
    <row r="6" spans="1:3">
      <c r="A6" s="18" t="s">
        <v>41</v>
      </c>
      <c r="B6" s="23" t="str">
        <f ca="1">_xll.SUBNM("CONS_VC:ALL.D.Region","","VCBR")</f>
        <v>RECALC_0_6_</v>
      </c>
    </row>
    <row r="7" spans="1:3">
      <c r="A7" s="18" t="s">
        <v>39</v>
      </c>
      <c r="B7" s="23" t="str">
        <f ca="1">_xll.SUBNM("CONS_VC:ALL.D.Products","Default","PROD099 - Others","Código e Descrição")</f>
        <v>RECALC_0_67_</v>
      </c>
    </row>
    <row r="9" spans="1:3" ht="15" thickBot="1">
      <c r="A9" s="21"/>
      <c r="B9" s="20" t="s">
        <v>118</v>
      </c>
      <c r="C9" s="20" t="s">
        <v>171</v>
      </c>
    </row>
    <row r="10" spans="1:3">
      <c r="A10" s="60" t="s">
        <v>172</v>
      </c>
      <c r="B10" s="19" t="str">
        <f ca="1">_xll.DBRW($A$1,$B$2,$B$3,$B$4,$B$5,$B$6,$B$7,$A10,B$9)</f>
        <v>RECALC_1_296_</v>
      </c>
      <c r="C10" s="19" t="str">
        <f ca="1">_xll.DBRW($A$1,$B$2,$B$3,$B$4,$B$5,$B$6,$B$7,$A10,C$9)</f>
        <v>RECALC_1_325_</v>
      </c>
    </row>
    <row r="11" spans="1:3">
      <c r="A11" s="60" t="s">
        <v>90</v>
      </c>
      <c r="B11" s="19" t="str">
        <f ca="1">_xll.DBRW($A$1,$B$2,$B$3,$B$4,$B$5,$B$6,$B$7,$A11,B$9)</f>
        <v>RECALC_1_389_</v>
      </c>
      <c r="C11" s="19" t="str">
        <f ca="1">_xll.DBRW($A$1,$B$2,$B$3,$B$4,$B$5,$B$6,$B$7,$A11,C$9)</f>
        <v>RECALC_1_489_</v>
      </c>
    </row>
    <row r="12" spans="1:3">
      <c r="A12" s="60" t="s">
        <v>97</v>
      </c>
      <c r="B12" s="19" t="str">
        <f ca="1">_xll.DBRW($A$1,$B$2,$B$3,$B$4,$B$5,$B$6,$B$7,$A12,B$9)</f>
        <v>RECALC_1_323_</v>
      </c>
      <c r="C12" s="19" t="str">
        <f ca="1">_xll.DBRW($A$1,$B$2,$B$3,$B$4,$B$5,$B$6,$B$7,$A12,C$9)</f>
        <v>RECALC_1_246_</v>
      </c>
    </row>
    <row r="13" spans="1:3">
      <c r="A13" s="60" t="s">
        <v>173</v>
      </c>
      <c r="B13" s="19" t="str">
        <f ca="1">_xll.DBRW($A$1,$B$2,$B$3,$B$4,$B$5,$B$6,$B$7,$A13,B$9)</f>
        <v>RECALC_1_267_</v>
      </c>
      <c r="C13" s="19" t="str">
        <f ca="1">_xll.DBRW($A$1,$B$2,$B$3,$B$4,$B$5,$B$6,$B$7,$A13,C$9)</f>
        <v>RECALC_1_306_</v>
      </c>
    </row>
    <row r="14" spans="1:3">
      <c r="A14" s="60" t="s">
        <v>96</v>
      </c>
      <c r="B14" s="19" t="str">
        <f ca="1">_xll.DBRW($A$1,$B$2,$B$3,$B$4,$B$5,$B$6,$B$7,$A14,B$9)</f>
        <v>RECALC_1_177_</v>
      </c>
      <c r="C14" s="19" t="str">
        <f ca="1">_xll.DBRW($A$1,$B$2,$B$3,$B$4,$B$5,$B$6,$B$7,$A14,C$9)</f>
        <v>RECALC_1_270_</v>
      </c>
    </row>
    <row r="15" spans="1:3">
      <c r="A15" s="60" t="s">
        <v>100</v>
      </c>
      <c r="B15" s="19" t="str">
        <f ca="1">_xll.DBRW($A$1,$B$2,$B$3,$B$4,$B$5,$B$6,$B$7,$A15,B$9)</f>
        <v>RECALC_1_470_</v>
      </c>
      <c r="C15" s="19" t="str">
        <f ca="1">_xll.DBRW($A$1,$B$2,$B$3,$B$4,$B$5,$B$6,$B$7,$A15,C$9)</f>
        <v>RECALC_1_294_</v>
      </c>
    </row>
    <row r="16" spans="1:3">
      <c r="A16" s="60" t="s">
        <v>174</v>
      </c>
      <c r="B16" s="19" t="str">
        <f ca="1">_xll.DBRW($A$1,$B$2,$B$3,$B$4,$B$5,$B$6,$B$7,$A16,B$9)</f>
        <v>RECALC_1_241_</v>
      </c>
      <c r="C16" s="19" t="str">
        <f ca="1">_xll.DBRW($A$1,$B$2,$B$3,$B$4,$B$5,$B$6,$B$7,$A16,C$9)</f>
        <v>RECALC_1_399_</v>
      </c>
    </row>
    <row r="17" spans="1:3">
      <c r="A17" s="60" t="s">
        <v>112</v>
      </c>
      <c r="B17" s="19" t="str">
        <f ca="1">_xll.DBRW($A$1,$B$2,$B$3,$B$4,$B$5,$B$6,$B$7,$A17,B$9)</f>
        <v>RECALC_1_277_</v>
      </c>
      <c r="C17" s="19" t="str">
        <f ca="1">_xll.DBRW($A$1,$B$2,$B$3,$B$4,$B$5,$B$6,$B$7,$A17,C$9)</f>
        <v>RECALC_1_431_</v>
      </c>
    </row>
    <row r="18" spans="1:3">
      <c r="A18" s="60" t="s">
        <v>117</v>
      </c>
      <c r="B18" s="19" t="str">
        <f ca="1">_xll.DBRW($A$1,$B$2,$B$3,$B$4,$B$5,$B$6,$B$7,$A18,B$9)</f>
        <v>RECALC_1_210_</v>
      </c>
      <c r="C18" s="19" t="str">
        <f ca="1">_xll.DBRW($A$1,$B$2,$B$3,$B$4,$B$5,$B$6,$B$7,$A18,C$9)</f>
        <v>RECALC_1_321_</v>
      </c>
    </row>
    <row r="19" spans="1:3">
      <c r="A19" s="60" t="s">
        <v>175</v>
      </c>
      <c r="B19" s="19" t="str">
        <f ca="1">_xll.DBRW($A$1,$B$2,$B$3,$B$4,$B$5,$B$6,$B$7,$A19,B$9)</f>
        <v>RECALC_1_371_</v>
      </c>
      <c r="C19" s="19" t="str">
        <f ca="1">_xll.DBRW($A$1,$B$2,$B$3,$B$4,$B$5,$B$6,$B$7,$A19,C$9)</f>
        <v>RECALC_1_252_</v>
      </c>
    </row>
    <row r="20" spans="1:3">
      <c r="A20" s="22" t="s">
        <v>176</v>
      </c>
      <c r="B20" s="19" t="str">
        <f ca="1">_xll.DBRW($A$1,$B$2,$B$3,$B$4,$B$5,$B$6,$B$7,$A20,B$9)</f>
        <v>RECALC_1_222_</v>
      </c>
      <c r="C20" s="19" t="str">
        <f ca="1">_xll.DBRW($A$1,$B$2,$B$3,$B$4,$B$5,$B$6,$B$7,$A20,C$9)</f>
        <v>RECALC_1_337_</v>
      </c>
    </row>
    <row r="21" spans="1:3">
      <c r="A21" s="183" t="s">
        <v>177</v>
      </c>
      <c r="B21" s="19" t="str">
        <f ca="1">_xll.DBRW($A$1,$B$2,$B$3,$B$4,$B$5,$B$6,$B$7,$A21,B$9)</f>
        <v>RECALC_1_487_</v>
      </c>
      <c r="C21" s="19" t="str">
        <f ca="1">_xll.DBRW($A$1,$B$2,$B$3,$B$4,$B$5,$B$6,$B$7,$A21,C$9)</f>
        <v>RECALC_1_202_</v>
      </c>
    </row>
    <row r="22" spans="1:3">
      <c r="A22" s="183" t="s">
        <v>178</v>
      </c>
      <c r="B22" s="19" t="str">
        <f ca="1">_xll.DBRW($A$1,$B$2,$B$3,$B$4,$B$5,$B$6,$B$7,$A22,B$9)</f>
        <v>RECALC_1_265_</v>
      </c>
      <c r="C22" s="19" t="str">
        <f ca="1">_xll.DBRW($A$1,$B$2,$B$3,$B$4,$B$5,$B$6,$B$7,$A22,C$9)</f>
        <v>RECALC_1_205_</v>
      </c>
    </row>
    <row r="23" spans="1:3">
      <c r="A23" s="183" t="s">
        <v>179</v>
      </c>
      <c r="B23" s="19" t="str">
        <f ca="1">_xll.DBRW($A$1,$B$2,$B$3,$B$4,$B$5,$B$6,$B$7,$A23,B$9)</f>
        <v>RECALC_1_263_</v>
      </c>
      <c r="C23" s="19" t="str">
        <f ca="1">_xll.DBRW($A$1,$B$2,$B$3,$B$4,$B$5,$B$6,$B$7,$A23,C$9)</f>
        <v>RECALC_1_467_</v>
      </c>
    </row>
    <row r="24" spans="1:3">
      <c r="A24" s="183" t="s">
        <v>180</v>
      </c>
      <c r="B24" s="19" t="str">
        <f ca="1">_xll.DBRW($A$1,$B$2,$B$3,$B$4,$B$5,$B$6,$B$7,$A24,B$9)</f>
        <v>RECALC_1_397_</v>
      </c>
      <c r="C24" s="19" t="str">
        <f ca="1">_xll.DBRW($A$1,$B$2,$B$3,$B$4,$B$5,$B$6,$B$7,$A24,C$9)</f>
        <v>RECALC_1_362_</v>
      </c>
    </row>
    <row r="25" spans="1:3">
      <c r="A25" s="183" t="s">
        <v>181</v>
      </c>
      <c r="B25" s="19" t="str">
        <f ca="1">_xll.DBRW($A$1,$B$2,$B$3,$B$4,$B$5,$B$6,$B$7,$A25,B$9)</f>
        <v>RECALC_1_292_</v>
      </c>
      <c r="C25" s="19" t="str">
        <f ca="1">_xll.DBRW($A$1,$B$2,$B$3,$B$4,$B$5,$B$6,$B$7,$A25,C$9)</f>
        <v>RECALC_1_334_</v>
      </c>
    </row>
    <row r="26" spans="1:3">
      <c r="A26" s="183" t="s">
        <v>182</v>
      </c>
      <c r="B26" s="19" t="str">
        <f ca="1">_xll.DBRW($A$1,$B$2,$B$3,$B$4,$B$5,$B$6,$B$7,$A26,B$9)</f>
        <v>RECALC_1_368_</v>
      </c>
      <c r="C26" s="19" t="str">
        <f ca="1">_xll.DBRW($A$1,$B$2,$B$3,$B$4,$B$5,$B$6,$B$7,$A26,C$9)</f>
        <v>RECALC_1_486_</v>
      </c>
    </row>
    <row r="27" spans="1:3">
      <c r="A27" s="183" t="s">
        <v>183</v>
      </c>
      <c r="B27" s="19" t="str">
        <f ca="1">_xll.DBRW($A$1,$B$2,$B$3,$B$4,$B$5,$B$6,$B$7,$A27,B$9)</f>
        <v>RECALC_1_308_</v>
      </c>
      <c r="C27" s="19" t="str">
        <f ca="1">_xll.DBRW($A$1,$B$2,$B$3,$B$4,$B$5,$B$6,$B$7,$A27,C$9)</f>
        <v>RECALC_1_338_</v>
      </c>
    </row>
    <row r="28" spans="1:3">
      <c r="A28" s="183" t="s">
        <v>184</v>
      </c>
      <c r="B28" s="19" t="str">
        <f ca="1">_xll.DBRW($A$1,$B$2,$B$3,$B$4,$B$5,$B$6,$B$7,$A28,B$9)</f>
        <v>RECALC_1_307_</v>
      </c>
      <c r="C28" s="19" t="str">
        <f ca="1">_xll.DBRW($A$1,$B$2,$B$3,$B$4,$B$5,$B$6,$B$7,$A28,C$9)</f>
        <v>RECALC_1_357_</v>
      </c>
    </row>
    <row r="29" spans="1:3">
      <c r="A29" s="183" t="s">
        <v>185</v>
      </c>
      <c r="B29" s="19" t="str">
        <f ca="1">_xll.DBRW($A$1,$B$2,$B$3,$B$4,$B$5,$B$6,$B$7,$A29,B$9)</f>
        <v>RECALC_1_356_</v>
      </c>
      <c r="C29" s="19" t="str">
        <f ca="1">_xll.DBRW($A$1,$B$2,$B$3,$B$4,$B$5,$B$6,$B$7,$A29,C$9)</f>
        <v>RECALC_1_347_</v>
      </c>
    </row>
    <row r="30" spans="1:3">
      <c r="A30" s="22" t="s">
        <v>186</v>
      </c>
      <c r="B30" s="19" t="str">
        <f ca="1">_xll.DBRW($A$1,$B$2,$B$3,$B$4,$B$5,$B$6,$B$7,$A30,B$9)</f>
        <v>RECALC_1_240_</v>
      </c>
      <c r="C30" s="19" t="str">
        <f ca="1">_xll.DBRW($A$1,$B$2,$B$3,$B$4,$B$5,$B$6,$B$7,$A30,C$9)</f>
        <v>RECALC_1_336_</v>
      </c>
    </row>
    <row r="31" spans="1:3">
      <c r="A31" s="183" t="s">
        <v>187</v>
      </c>
      <c r="B31" s="19" t="str">
        <f ca="1">_xll.DBRW($A$1,$B$2,$B$3,$B$4,$B$5,$B$6,$B$7,$A31,B$9)</f>
        <v>RECALC_1_179_</v>
      </c>
      <c r="C31" s="19" t="str">
        <f ca="1">_xll.DBRW($A$1,$B$2,$B$3,$B$4,$B$5,$B$6,$B$7,$A31,C$9)</f>
        <v>RECALC_1_198_</v>
      </c>
    </row>
    <row r="32" spans="1:3">
      <c r="A32" s="183" t="s">
        <v>188</v>
      </c>
      <c r="B32" s="19" t="str">
        <f ca="1">_xll.DBRW($A$1,$B$2,$B$3,$B$4,$B$5,$B$6,$B$7,$A32,B$9)</f>
        <v>RECALC_1_341_</v>
      </c>
      <c r="C32" s="19" t="str">
        <f ca="1">_xll.DBRW($A$1,$B$2,$B$3,$B$4,$B$5,$B$6,$B$7,$A32,C$9)</f>
        <v>RECALC_1_445_</v>
      </c>
    </row>
    <row r="33" spans="1:3">
      <c r="A33" s="183" t="s">
        <v>189</v>
      </c>
      <c r="B33" s="19" t="str">
        <f ca="1">_xll.DBRW($A$1,$B$2,$B$3,$B$4,$B$5,$B$6,$B$7,$A33,B$9)</f>
        <v>RECALC_1_350_</v>
      </c>
      <c r="C33" s="19" t="str">
        <f ca="1">_xll.DBRW($A$1,$B$2,$B$3,$B$4,$B$5,$B$6,$B$7,$A33,C$9)</f>
        <v>RECALC_1_189_</v>
      </c>
    </row>
    <row r="34" spans="1:3">
      <c r="A34" s="60" t="s">
        <v>190</v>
      </c>
      <c r="B34" s="19" t="str">
        <f ca="1">_xll.DBRW($A$1,$B$2,$B$3,$B$4,$B$5,$B$6,$B$7,$A34,B$9)</f>
        <v>RECALC_1_289_</v>
      </c>
      <c r="C34" s="19" t="str">
        <f ca="1">_xll.DBRW($A$1,$B$2,$B$3,$B$4,$B$5,$B$6,$B$7,$A34,C$9)</f>
        <v>RECALC_1_193_</v>
      </c>
    </row>
    <row r="35" spans="1:3">
      <c r="A35" s="60" t="s">
        <v>191</v>
      </c>
      <c r="B35" s="19" t="str">
        <f ca="1">_xll.DBRW($A$1,$B$2,$B$3,$B$4,$B$5,$B$6,$B$7,$A35,B$9)</f>
        <v>RECALC_1_478_</v>
      </c>
      <c r="C35" s="19" t="str">
        <f ca="1">_xll.DBRW($A$1,$B$2,$B$3,$B$4,$B$5,$B$6,$B$7,$A35,C$9)</f>
        <v>RECALC_1_382_</v>
      </c>
    </row>
    <row r="36" spans="1:3">
      <c r="A36" s="60" t="s">
        <v>192</v>
      </c>
      <c r="B36" s="19" t="str">
        <f ca="1">_xll.DBRW($A$1,$B$2,$B$3,$B$4,$B$5,$B$6,$B$7,$A36,B$9)</f>
        <v>RECALC_1_394_</v>
      </c>
      <c r="C36" s="19" t="str">
        <f ca="1">_xll.DBRW($A$1,$B$2,$B$3,$B$4,$B$5,$B$6,$B$7,$A36,C$9)</f>
        <v>RECALC_1_178_</v>
      </c>
    </row>
    <row r="37" spans="1:3">
      <c r="A37" s="60" t="s">
        <v>193</v>
      </c>
      <c r="B37" s="19" t="str">
        <f ca="1">_xll.DBRW($A$1,$B$2,$B$3,$B$4,$B$5,$B$6,$B$7,$A37,B$9)</f>
        <v>RECALC_1_242_</v>
      </c>
      <c r="C37" s="19" t="str">
        <f ca="1">_xll.DBRW($A$1,$B$2,$B$3,$B$4,$B$5,$B$6,$B$7,$A37,C$9)</f>
        <v>RECALC_1_186_</v>
      </c>
    </row>
    <row r="38" spans="1:3">
      <c r="A38" s="60" t="s">
        <v>194</v>
      </c>
      <c r="B38" s="19" t="str">
        <f ca="1">_xll.DBRW($A$1,$B$2,$B$3,$B$4,$B$5,$B$6,$B$7,$A38,B$9)</f>
        <v>RECALC_1_215_</v>
      </c>
      <c r="C38" s="19" t="str">
        <f ca="1">_xll.DBRW($A$1,$B$2,$B$3,$B$4,$B$5,$B$6,$B$7,$A38,C$9)</f>
        <v>RECALC_1_346_</v>
      </c>
    </row>
    <row r="39" spans="1:3">
      <c r="A39" s="60" t="s">
        <v>195</v>
      </c>
      <c r="B39" s="19" t="str">
        <f ca="1">_xll.DBRW($A$1,$B$2,$B$3,$B$4,$B$5,$B$6,$B$7,$A39,B$9)</f>
        <v>RECALC_1_447_</v>
      </c>
      <c r="C39" s="19" t="str">
        <f ca="1">_xll.DBRW($A$1,$B$2,$B$3,$B$4,$B$5,$B$6,$B$7,$A39,C$9)</f>
        <v>RECALC_1_404_</v>
      </c>
    </row>
    <row r="40" spans="1:3">
      <c r="A40" s="60" t="s">
        <v>196</v>
      </c>
      <c r="B40" s="19" t="str">
        <f ca="1">_xll.DBRW($A$1,$B$2,$B$3,$B$4,$B$5,$B$6,$B$7,$A40,B$9)</f>
        <v>RECALC_1_375_</v>
      </c>
      <c r="C40" s="19" t="str">
        <f ca="1">_xll.DBRW($A$1,$B$2,$B$3,$B$4,$B$5,$B$6,$B$7,$A40,C$9)</f>
        <v>RECALC_1_274_</v>
      </c>
    </row>
    <row r="41" spans="1:3">
      <c r="A41" s="60" t="s">
        <v>197</v>
      </c>
      <c r="B41" s="19" t="str">
        <f ca="1">_xll.DBRW($A$1,$B$2,$B$3,$B$4,$B$5,$B$6,$B$7,$A41,B$9)</f>
        <v>RECALC_1_403_</v>
      </c>
      <c r="C41" s="19" t="str">
        <f ca="1">_xll.DBRW($A$1,$B$2,$B$3,$B$4,$B$5,$B$6,$B$7,$A41,C$9)</f>
        <v>RECALC_1_442_</v>
      </c>
    </row>
    <row r="42" spans="1:3">
      <c r="A42" s="60" t="s">
        <v>198</v>
      </c>
      <c r="B42" s="19" t="str">
        <f ca="1">_xll.DBRW($A$1,$B$2,$B$3,$B$4,$B$5,$B$6,$B$7,$A42,B$9)</f>
        <v>RECALC_1_243_</v>
      </c>
      <c r="C42" s="19" t="str">
        <f ca="1">_xll.DBRW($A$1,$B$2,$B$3,$B$4,$B$5,$B$6,$B$7,$A42,C$9)</f>
        <v>RECALC_1_461_</v>
      </c>
    </row>
    <row r="43" spans="1:3">
      <c r="A43" s="60" t="s">
        <v>199</v>
      </c>
      <c r="B43" s="19" t="str">
        <f ca="1">_xll.DBRW($A$1,$B$2,$B$3,$B$4,$B$5,$B$6,$B$7,$A43,B$9)</f>
        <v>RECALC_1_418_</v>
      </c>
      <c r="C43" s="19" t="str">
        <f ca="1">_xll.DBRW($A$1,$B$2,$B$3,$B$4,$B$5,$B$6,$B$7,$A43,C$9)</f>
        <v>RECALC_1_415_</v>
      </c>
    </row>
    <row r="44" spans="1:3">
      <c r="A44" s="60" t="s">
        <v>200</v>
      </c>
      <c r="B44" s="19" t="str">
        <f ca="1">_xll.DBRW($A$1,$B$2,$B$3,$B$4,$B$5,$B$6,$B$7,$A44,B$9)</f>
        <v>RECALC_1_420_</v>
      </c>
      <c r="C44" s="19" t="str">
        <f ca="1">_xll.DBRW($A$1,$B$2,$B$3,$B$4,$B$5,$B$6,$B$7,$A44,C$9)</f>
        <v>RECALC_1_182_</v>
      </c>
    </row>
    <row r="45" spans="1:3">
      <c r="A45" s="60" t="s">
        <v>201</v>
      </c>
      <c r="B45" s="19" t="str">
        <f ca="1">_xll.DBRW($A$1,$B$2,$B$3,$B$4,$B$5,$B$6,$B$7,$A45,B$9)</f>
        <v>RECALC_1_412_</v>
      </c>
      <c r="C45" s="19" t="str">
        <f ca="1">_xll.DBRW($A$1,$B$2,$B$3,$B$4,$B$5,$B$6,$B$7,$A45,C$9)</f>
        <v>RECALC_1_170_</v>
      </c>
    </row>
    <row r="46" spans="1:3">
      <c r="A46" s="22" t="s">
        <v>202</v>
      </c>
      <c r="B46" s="19" t="str">
        <f ca="1">_xll.DBRW($A$1,$B$2,$B$3,$B$4,$B$5,$B$6,$B$7,$A46,B$9)</f>
        <v>RECALC_1_183_</v>
      </c>
      <c r="C46" s="19" t="str">
        <f ca="1">_xll.DBRW($A$1,$B$2,$B$3,$B$4,$B$5,$B$6,$B$7,$A46,C$9)</f>
        <v>RECALC_1_311_</v>
      </c>
    </row>
    <row r="47" spans="1:3">
      <c r="A47" s="22" t="s">
        <v>203</v>
      </c>
      <c r="B47" s="19" t="str">
        <f ca="1">_xll.DBRW($A$1,$B$2,$B$3,$B$4,$B$5,$B$6,$B$7,$A47,B$9)</f>
        <v>RECALC_1_380_</v>
      </c>
      <c r="C47" s="19" t="str">
        <f ca="1">_xll.DBRW($A$1,$B$2,$B$3,$B$4,$B$5,$B$6,$B$7,$A47,C$9)</f>
        <v>RECALC_1_317_</v>
      </c>
    </row>
    <row r="48" spans="1:3">
      <c r="A48" s="22" t="s">
        <v>204</v>
      </c>
      <c r="B48" s="19" t="str">
        <f ca="1">_xll.DBRW($A$1,$B$2,$B$3,$B$4,$B$5,$B$6,$B$7,$A48,B$9)</f>
        <v>RECALC_1_275_</v>
      </c>
      <c r="C48" s="19" t="str">
        <f ca="1">_xll.DBRW($A$1,$B$2,$B$3,$B$4,$B$5,$B$6,$B$7,$A48,C$9)</f>
        <v>RECALC_1_450_</v>
      </c>
    </row>
    <row r="49" spans="1:3">
      <c r="A49" s="22" t="s">
        <v>205</v>
      </c>
      <c r="B49" s="19" t="str">
        <f ca="1">_xll.DBRW($A$1,$B$2,$B$3,$B$4,$B$5,$B$6,$B$7,$A49,B$9)</f>
        <v>RECALC_1_409_</v>
      </c>
      <c r="C49" s="19" t="str">
        <f ca="1">_xll.DBRW($A$1,$B$2,$B$3,$B$4,$B$5,$B$6,$B$7,$A49,C$9)</f>
        <v>RECALC_1_351_</v>
      </c>
    </row>
    <row r="50" spans="1:3">
      <c r="A50" s="22" t="s">
        <v>206</v>
      </c>
      <c r="B50" s="19" t="str">
        <f ca="1">_xll.DBRW($A$1,$B$2,$B$3,$B$4,$B$5,$B$6,$B$7,$A50,B$9)</f>
        <v>RECALC_1_216_</v>
      </c>
      <c r="C50" s="19" t="str">
        <f ca="1">_xll.DBRW($A$1,$B$2,$B$3,$B$4,$B$5,$B$6,$B$7,$A50,C$9)</f>
        <v>RECALC_1_259_</v>
      </c>
    </row>
    <row r="51" spans="1:3">
      <c r="A51" s="22" t="s">
        <v>207</v>
      </c>
      <c r="B51" s="19" t="str">
        <f ca="1">_xll.DBRW($A$1,$B$2,$B$3,$B$4,$B$5,$B$6,$B$7,$A51,B$9)</f>
        <v>RECALC_1_257_</v>
      </c>
      <c r="C51" s="19" t="str">
        <f ca="1">_xll.DBRW($A$1,$B$2,$B$3,$B$4,$B$5,$B$6,$B$7,$A51,C$9)</f>
        <v>RECALC_1_345_</v>
      </c>
    </row>
    <row r="52" spans="1:3">
      <c r="A52" s="22" t="s">
        <v>208</v>
      </c>
      <c r="B52" s="19" t="str">
        <f ca="1">_xll.DBRW($A$1,$B$2,$B$3,$B$4,$B$5,$B$6,$B$7,$A52,B$9)</f>
        <v>RECALC_1_462_</v>
      </c>
      <c r="C52" s="19" t="str">
        <f ca="1">_xll.DBRW($A$1,$B$2,$B$3,$B$4,$B$5,$B$6,$B$7,$A52,C$9)</f>
        <v>RECALC_1_197_</v>
      </c>
    </row>
    <row r="53" spans="1:3">
      <c r="A53" s="22" t="s">
        <v>209</v>
      </c>
      <c r="B53" s="19" t="str">
        <f ca="1">_xll.DBRW($A$1,$B$2,$B$3,$B$4,$B$5,$B$6,$B$7,$A53,B$9)</f>
        <v>RECALC_1_208_</v>
      </c>
      <c r="C53" s="19" t="str">
        <f ca="1">_xll.DBRW($A$1,$B$2,$B$3,$B$4,$B$5,$B$6,$B$7,$A53,C$9)</f>
        <v>RECALC_1_314_</v>
      </c>
    </row>
    <row r="54" spans="1:3">
      <c r="A54" s="60" t="s">
        <v>210</v>
      </c>
      <c r="B54" s="19" t="str">
        <f ca="1">_xll.DBRW($A$1,$B$2,$B$3,$B$4,$B$5,$B$6,$B$7,$A54,B$9)</f>
        <v>RECALC_1_200_</v>
      </c>
      <c r="C54" s="19" t="str">
        <f ca="1">_xll.DBRW($A$1,$B$2,$B$3,$B$4,$B$5,$B$6,$B$7,$A54,C$9)</f>
        <v>RECALC_1_372_</v>
      </c>
    </row>
    <row r="55" spans="1:3">
      <c r="A55" s="60" t="s">
        <v>211</v>
      </c>
      <c r="B55" s="19" t="str">
        <f ca="1">_xll.DBRW($A$1,$B$2,$B$3,$B$4,$B$5,$B$6,$B$7,$A55,B$9)</f>
        <v>RECALC_1_387_</v>
      </c>
      <c r="C55" s="19" t="str">
        <f ca="1">_xll.DBRW($A$1,$B$2,$B$3,$B$4,$B$5,$B$6,$B$7,$A55,C$9)</f>
        <v>RECALC_1_301_</v>
      </c>
    </row>
    <row r="56" spans="1:3">
      <c r="A56" s="60" t="s">
        <v>212</v>
      </c>
      <c r="B56" s="19" t="str">
        <f ca="1">_xll.DBRW($A$1,$B$2,$B$3,$B$4,$B$5,$B$6,$B$7,$A56,B$9)</f>
        <v>RECALC_1_195_</v>
      </c>
      <c r="C56" s="19" t="str">
        <f ca="1">_xll.DBRW($A$1,$B$2,$B$3,$B$4,$B$5,$B$6,$B$7,$A56,C$9)</f>
        <v>RECALC_1_280_</v>
      </c>
    </row>
    <row r="57" spans="1:3">
      <c r="A57" s="60" t="s">
        <v>213</v>
      </c>
      <c r="B57" s="19" t="str">
        <f ca="1">_xll.DBRW($A$1,$B$2,$B$3,$B$4,$B$5,$B$6,$B$7,$A57,B$9)</f>
        <v>RECALC_1_359_</v>
      </c>
      <c r="C57" s="19" t="str">
        <f ca="1">_xll.DBRW($A$1,$B$2,$B$3,$B$4,$B$5,$B$6,$B$7,$A57,C$9)</f>
        <v>RECALC_1_453_</v>
      </c>
    </row>
    <row r="58" spans="1:3">
      <c r="A58" s="60" t="s">
        <v>214</v>
      </c>
      <c r="B58" s="19" t="str">
        <f ca="1">_xll.DBRW($A$1,$B$2,$B$3,$B$4,$B$5,$B$6,$B$7,$A58,B$9)</f>
        <v>RECALC_1_309_</v>
      </c>
      <c r="C58" s="19" t="str">
        <f ca="1">_xll.DBRW($A$1,$B$2,$B$3,$B$4,$B$5,$B$6,$B$7,$A58,C$9)</f>
        <v>RECALC_1_471_</v>
      </c>
    </row>
  </sheetData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0043-45D2-423B-86A6-FF27C6C086B6}">
  <dimension ref="B2:E3"/>
  <sheetViews>
    <sheetView topLeftCell="A5" workbookViewId="0">
      <selection activeCell="G43" sqref="G43"/>
    </sheetView>
  </sheetViews>
  <sheetFormatPr defaultRowHeight="14.4"/>
  <cols>
    <col min="2" max="2" width="18.77734375" bestFit="1" customWidth="1"/>
    <col min="3" max="3" width="15.6640625" bestFit="1" customWidth="1"/>
    <col min="4" max="4" width="14.44140625" bestFit="1" customWidth="1"/>
  </cols>
  <sheetData>
    <row r="2" spans="2:5">
      <c r="B2" t="s">
        <v>95</v>
      </c>
      <c r="C2" t="s">
        <v>215</v>
      </c>
      <c r="D2" t="s">
        <v>216</v>
      </c>
      <c r="E2" t="s">
        <v>217</v>
      </c>
    </row>
    <row r="3" spans="2:5">
      <c r="B3" t="s">
        <v>114</v>
      </c>
      <c r="C3" t="s">
        <v>218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C1AA-D0B3-4EEC-A190-2158CCBFAEB3}">
  <dimension ref="A1:AV63"/>
  <sheetViews>
    <sheetView showGridLines="0" showRuler="0" showWhiteSpace="0" zoomScale="70" zoomScaleNormal="70" workbookViewId="0">
      <selection activeCell="Z7" sqref="Z7"/>
    </sheetView>
  </sheetViews>
  <sheetFormatPr defaultColWidth="9.44140625" defaultRowHeight="18" customHeight="1" outlineLevelRow="1" outlineLevelCol="1"/>
  <cols>
    <col min="1" max="1" width="20" style="9" customWidth="1"/>
    <col min="2" max="2" width="19.5546875" style="9" customWidth="1"/>
    <col min="3" max="3" width="4.5546875" style="86" customWidth="1"/>
    <col min="4" max="4" width="3" style="83" customWidth="1" outlineLevel="1"/>
    <col min="5" max="5" width="8.33203125" style="84" customWidth="1"/>
    <col min="6" max="6" width="8.5546875" style="84" customWidth="1"/>
    <col min="7" max="7" width="1.5546875" style="84" customWidth="1"/>
    <col min="8" max="8" width="8.5546875" style="84" customWidth="1"/>
    <col min="9" max="9" width="3" style="84" customWidth="1"/>
    <col min="10" max="10" width="3" style="85" customWidth="1"/>
    <col min="11" max="11" width="4.5546875" style="86" customWidth="1" outlineLevel="1"/>
    <col min="12" max="12" width="1.5546875" style="85" customWidth="1"/>
    <col min="13" max="13" width="9.33203125" style="87" customWidth="1"/>
    <col min="14" max="14" width="1.5546875" style="85" customWidth="1"/>
    <col min="15" max="15" width="8.88671875" style="87" customWidth="1"/>
    <col min="16" max="16" width="3.5546875" style="87" customWidth="1"/>
    <col min="17" max="17" width="3.5546875" style="10" customWidth="1"/>
    <col min="18" max="18" width="4.5546875" style="86" customWidth="1" outlineLevel="1"/>
    <col min="19" max="19" width="1.5546875" style="10" customWidth="1"/>
    <col min="20" max="20" width="10.6640625" style="10" customWidth="1"/>
    <col min="21" max="21" width="1.5546875" style="10" customWidth="1"/>
    <col min="22" max="22" width="9.44140625" style="10" customWidth="1"/>
    <col min="23" max="24" width="4" style="10" customWidth="1"/>
    <col min="25" max="25" width="4.5546875" style="86" customWidth="1" outlineLevel="1"/>
    <col min="26" max="26" width="1.5546875" style="10" customWidth="1"/>
    <col min="27" max="27" width="8.5546875" style="10" customWidth="1"/>
    <col min="28" max="28" width="1.5546875" style="10" customWidth="1"/>
    <col min="29" max="29" width="9.5546875" style="10" customWidth="1"/>
    <col min="30" max="31" width="4.44140625" style="10" customWidth="1"/>
    <col min="32" max="32" width="4.5546875" style="86" customWidth="1" outlineLevel="1"/>
    <col min="33" max="33" width="1.5546875" style="10" customWidth="1"/>
    <col min="34" max="34" width="8.5546875" style="10" customWidth="1"/>
    <col min="35" max="35" width="1.5546875" style="10" customWidth="1"/>
    <col min="36" max="36" width="8.5546875" style="10" customWidth="1"/>
    <col min="37" max="38" width="3.44140625" style="10" customWidth="1"/>
    <col min="39" max="39" width="4.5546875" style="86" customWidth="1" outlineLevel="1"/>
    <col min="40" max="40" width="1.5546875" style="10" customWidth="1"/>
    <col min="41" max="41" width="9.44140625" style="10" customWidth="1"/>
    <col min="42" max="42" width="1.5546875" style="10" customWidth="1"/>
    <col min="43" max="43" width="9.5546875" style="10" customWidth="1"/>
    <col min="44" max="44" width="4.5546875" style="9" customWidth="1"/>
    <col min="45" max="46" width="0" style="9" hidden="1" customWidth="1"/>
    <col min="47" max="16384" width="9.44140625" style="9"/>
  </cols>
  <sheetData>
    <row r="1" spans="1:46" ht="12" customHeight="1">
      <c r="C1" s="82">
        <v>9</v>
      </c>
      <c r="M1" s="84" t="s">
        <v>82</v>
      </c>
      <c r="O1" s="84"/>
    </row>
    <row r="2" spans="1:46" ht="18" customHeight="1">
      <c r="A2" s="2" t="s">
        <v>3</v>
      </c>
      <c r="B2" s="2"/>
    </row>
    <row r="3" spans="1:46" ht="18" customHeight="1">
      <c r="A3" s="7" t="s">
        <v>4</v>
      </c>
      <c r="B3" s="7"/>
      <c r="F3" s="88"/>
      <c r="H3" s="88"/>
      <c r="K3" s="89" t="s">
        <v>83</v>
      </c>
      <c r="L3" s="90"/>
      <c r="M3" s="90" t="s">
        <v>26</v>
      </c>
      <c r="N3" s="90"/>
      <c r="O3" s="91" t="s">
        <v>84</v>
      </c>
      <c r="P3" s="85"/>
      <c r="R3" s="89" t="s">
        <v>83</v>
      </c>
      <c r="S3" s="90"/>
      <c r="T3" s="90" t="s">
        <v>26</v>
      </c>
      <c r="U3" s="90"/>
      <c r="V3" s="91" t="s">
        <v>84</v>
      </c>
      <c r="W3" s="85"/>
      <c r="Y3" s="89" t="s">
        <v>83</v>
      </c>
      <c r="Z3" s="90"/>
      <c r="AA3" s="90" t="s">
        <v>26</v>
      </c>
      <c r="AB3" s="90"/>
      <c r="AC3" s="91" t="s">
        <v>84</v>
      </c>
      <c r="AD3" s="85"/>
      <c r="AF3" s="89" t="s">
        <v>85</v>
      </c>
      <c r="AG3" s="90"/>
      <c r="AH3" s="90" t="s">
        <v>26</v>
      </c>
      <c r="AI3" s="90"/>
      <c r="AJ3" s="91" t="s">
        <v>84</v>
      </c>
      <c r="AK3" s="85"/>
      <c r="AM3" s="89" t="s">
        <v>83</v>
      </c>
      <c r="AN3" s="90"/>
      <c r="AO3" s="90" t="s">
        <v>26</v>
      </c>
      <c r="AP3" s="90"/>
      <c r="AQ3" s="91" t="s">
        <v>84</v>
      </c>
    </row>
    <row r="4" spans="1:46" ht="18" customHeight="1">
      <c r="A4" s="7" t="s">
        <v>5</v>
      </c>
      <c r="B4" s="7"/>
      <c r="C4" s="92"/>
      <c r="F4" s="88"/>
      <c r="H4" s="88"/>
      <c r="K4" s="93"/>
      <c r="L4" s="384" t="s">
        <v>86</v>
      </c>
      <c r="M4" s="385"/>
      <c r="N4" s="385"/>
      <c r="O4" s="386"/>
      <c r="P4" s="94"/>
      <c r="Q4" s="95"/>
      <c r="R4" s="93"/>
      <c r="S4" s="384" t="s">
        <v>87</v>
      </c>
      <c r="T4" s="385"/>
      <c r="U4" s="385"/>
      <c r="V4" s="386"/>
      <c r="W4" s="94"/>
      <c r="Y4" s="93"/>
      <c r="Z4" s="384" t="s">
        <v>88</v>
      </c>
      <c r="AA4" s="385"/>
      <c r="AB4" s="385"/>
      <c r="AC4" s="386"/>
      <c r="AD4" s="94"/>
      <c r="AF4" s="93"/>
      <c r="AG4" s="384" t="s">
        <v>89</v>
      </c>
      <c r="AH4" s="385"/>
      <c r="AI4" s="385"/>
      <c r="AJ4" s="386"/>
      <c r="AK4" s="94"/>
      <c r="AM4" s="93"/>
      <c r="AN4" s="384" t="s">
        <v>90</v>
      </c>
      <c r="AO4" s="385"/>
      <c r="AP4" s="385"/>
      <c r="AQ4" s="386"/>
    </row>
    <row r="5" spans="1:46" ht="18" customHeight="1" thickBot="1">
      <c r="A5" t="s">
        <v>6</v>
      </c>
      <c r="B5" s="374">
        <f>B7</f>
        <v>0</v>
      </c>
      <c r="K5" s="93" t="str">
        <f ca="1">A17</f>
        <v>RECALC_0_5_</v>
      </c>
      <c r="L5" s="374">
        <f ca="1">L7</f>
        <v>1</v>
      </c>
      <c r="M5" s="96" t="str" cm="1">
        <f t="array" aca="1" ref="M5" ca="1">_xll.DBRW('Value Tree TESTE'!A6,A10,A13,K5,A20,A23,"Closing Balance Debt","Total Value")</f>
        <v>RECALC_1_227_</v>
      </c>
      <c r="N5" s="374">
        <f ca="1">N7</f>
        <v>1</v>
      </c>
      <c r="O5" s="97" t="str" cm="1">
        <f t="array" aca="1" ref="O5" ca="1">_xll.DBRW('Value Tree TESTE'!A6,A10,A14,K5,A20,A23,"Closing Balance Debt","Total Value")</f>
        <v>RECALC_1_456_</v>
      </c>
      <c r="P5" s="98"/>
      <c r="Q5" s="99"/>
      <c r="R5" s="93" t="str">
        <f ca="1">A17</f>
        <v>RECALC_0_5_</v>
      </c>
      <c r="S5" s="374">
        <f ca="1">S7</f>
        <v>0</v>
      </c>
      <c r="T5" s="96" t="str" cm="1">
        <f t="array" aca="1" ref="T5" ca="1">_xll.DBR(A4,A10,A13,R5,A20,A23,"PROD099 - Others","Net Revenue","Value")</f>
        <v>RECALC_1_305_</v>
      </c>
      <c r="U5" s="374">
        <f ca="1">U7</f>
        <v>-1</v>
      </c>
      <c r="V5" s="97" t="str" cm="1">
        <f t="array" aca="1" ref="V5" ca="1">_xll.DBR(A4,A10,A14,R5,A20,A23,"PROD099 - Others","Net Revenue","Value")</f>
        <v>RECALC_1_288_</v>
      </c>
      <c r="W5" s="100"/>
      <c r="X5" s="101"/>
      <c r="Y5" s="93" t="str">
        <f ca="1">A17</f>
        <v>RECALC_0_5_</v>
      </c>
      <c r="Z5" s="374">
        <f ca="1">Z7</f>
        <v>1</v>
      </c>
      <c r="AA5" s="96" t="str">
        <f ca="1">_xll.DBRW(A3,A10,A13,Y5,A20,A23,"PROD099 - Others","Volume","Value")</f>
        <v>RECALC_1_425_</v>
      </c>
      <c r="AB5" s="374">
        <f ca="1">AB7</f>
        <v>0</v>
      </c>
      <c r="AC5" s="97" t="str">
        <f ca="1">_xll.DBRW(A3,A10,A14,Y5,A20,A23,"PROD099 - Others","Volume","Value")</f>
        <v>RECALC_1_426_</v>
      </c>
      <c r="AD5" s="98"/>
      <c r="AE5" s="101"/>
      <c r="AF5" s="93" t="str">
        <f ca="1">A17</f>
        <v>RECALC_0_5_</v>
      </c>
      <c r="AG5" s="374" t="e">
        <f ca="1">AG7</f>
        <v>#VALUE!</v>
      </c>
      <c r="AH5" s="96" t="str">
        <f ca="1">_xll.DBRW('Value Tree TESTE'!A3,A10,A13,AF5,A20,A23,"PROD099 - Others","Fuel (LMU/t)","Value")</f>
        <v>RECALC_1_303_</v>
      </c>
      <c r="AI5" s="374" t="e">
        <f ca="1">AI7</f>
        <v>#VALUE!</v>
      </c>
      <c r="AJ5" s="97" t="str">
        <f ca="1">_xll.DBRW('Value Tree TESTE'!A3,A10,A14,AF5,A20,A23,"PROD099 - Others","Fuel (LMU/t)","Value")</f>
        <v>RECALC_1_386_</v>
      </c>
      <c r="AK5" s="100"/>
      <c r="AL5" s="102"/>
      <c r="AM5" s="93" t="str">
        <f ca="1">A17</f>
        <v>RECALC_0_5_</v>
      </c>
      <c r="AN5" s="374" t="e">
        <f ca="1">AN7</f>
        <v>#VALUE!</v>
      </c>
      <c r="AO5" s="103" t="str">
        <f ca="1">_xll.DBRW('Value Tree TESTE'!A3,A10,A13,AM5,A20,A23,"PROD099 - Others","Thermal Sub. (%)","Value")</f>
        <v>RECALC_1_266_</v>
      </c>
      <c r="AP5" s="400" t="e">
        <f ca="1">AP7</f>
        <v>#REF!</v>
      </c>
      <c r="AQ5" s="104" t="str">
        <f ca="1">_xll.DBRW('Value Tree TESTE'!A3,A10,A14,AM5,A20,A23,"PROD099 - Others","Thermal Sub. (%)","Value")</f>
        <v>RECALC_1_244_</v>
      </c>
      <c r="AS5" s="105">
        <v>54.4</v>
      </c>
      <c r="AT5" s="104" t="e">
        <v>#REF!</v>
      </c>
    </row>
    <row r="6" spans="1:46" ht="18" customHeight="1">
      <c r="A6" t="s">
        <v>7</v>
      </c>
      <c r="B6" s="375">
        <f>B7</f>
        <v>0</v>
      </c>
      <c r="F6" s="106"/>
      <c r="K6" s="93" t="str">
        <f ca="1">A18</f>
        <v>RECALC_0_4_</v>
      </c>
      <c r="L6" s="375">
        <f ca="1">L7</f>
        <v>1</v>
      </c>
      <c r="M6" s="107" t="str" cm="1">
        <f t="array" aca="1" ref="M6" ca="1">_xll.DBRW('Value Tree TESTE'!A6,A10,A13,K6,A20,A23,"Closing Balance Debt","Total Value")</f>
        <v>RECALC_1_171_</v>
      </c>
      <c r="N6" s="375">
        <f ca="1">N7</f>
        <v>1</v>
      </c>
      <c r="O6" s="108" t="str" cm="1">
        <f t="array" aca="1" ref="O6" ca="1">_xll.DBRW('Value Tree TESTE'!A6,A10,A14,K6,A20,A23,"Closing Balance Debt","Total Value")</f>
        <v>RECALC_1_260_</v>
      </c>
      <c r="P6" s="109"/>
      <c r="Q6" s="95"/>
      <c r="R6" s="93" t="str">
        <f ca="1">A18</f>
        <v>RECALC_0_4_</v>
      </c>
      <c r="S6" s="375">
        <f ca="1">S7</f>
        <v>0</v>
      </c>
      <c r="T6" s="107" t="str" cm="1">
        <f t="array" aca="1" ref="T6" ca="1">_xll.DBR(A4,A10,A13,R6,A20,A23,"PROD099 - Others","Net Revenue","Value")</f>
        <v>RECALC_1_175_</v>
      </c>
      <c r="U6" s="375">
        <f ca="1">U7</f>
        <v>-1</v>
      </c>
      <c r="V6" s="108" t="str" cm="1">
        <f t="array" aca="1" ref="V6" ca="1">_xll.DBR(A4,A10,A14,R6,A20,A23,"PROD099 - Others","Net Revenue","Value")</f>
        <v>RECALC_1_416_</v>
      </c>
      <c r="W6" s="98"/>
      <c r="Y6" s="93" t="str">
        <f ca="1">A18</f>
        <v>RECALC_0_4_</v>
      </c>
      <c r="Z6" s="375">
        <f ca="1">Z7</f>
        <v>1</v>
      </c>
      <c r="AA6" s="107" t="str">
        <f ca="1">_xll.DBRW(A3,A10,A13,Y6,A20,A23,"PROD099 - Others","Volume","Value")</f>
        <v>RECALC_1_184_</v>
      </c>
      <c r="AB6" s="375">
        <f ca="1">AB7</f>
        <v>0</v>
      </c>
      <c r="AC6" s="108" t="str">
        <f ca="1">_xll.DBRW(A3,A10,A14,Y6,A20,A23,"PROD099 - Others","Volume","Value")</f>
        <v>RECALC_1_191_</v>
      </c>
      <c r="AD6" s="109"/>
      <c r="AF6" s="93" t="str">
        <f ca="1">A18</f>
        <v>RECALC_0_4_</v>
      </c>
      <c r="AG6" s="375" t="e">
        <f ca="1">AG7</f>
        <v>#VALUE!</v>
      </c>
      <c r="AH6" s="107" t="str">
        <f ca="1">_xll.DBRW('Value Tree TESTE'!A3,A10,A13,AF6,A20,A23,"PROD099 - Others","Fuel (LMU/t)","Value")</f>
        <v>RECALC_1_276_</v>
      </c>
      <c r="AI6" s="375" t="e">
        <f ca="1">AI7</f>
        <v>#VALUE!</v>
      </c>
      <c r="AJ6" s="108" t="str">
        <f ca="1">_xll.DBRW('Value Tree TESTE'!A3,A10,A14,AF6,A20,A23,"PROD099 - Others","Fuel (LMU/t)","Value")</f>
        <v>RECALC_1_395_</v>
      </c>
      <c r="AK6" s="110"/>
      <c r="AM6" s="93" t="str">
        <f ca="1">A18</f>
        <v>RECALC_0_4_</v>
      </c>
      <c r="AN6" s="375" t="e">
        <f ca="1">AN7</f>
        <v>#VALUE!</v>
      </c>
      <c r="AO6" s="111" t="str">
        <f ca="1">_xll.DBRW('Value Tree TESTE'!A3,A10,A13,AM6,A20,A23,"PROD099 - Others","Thermal Sub. (%)","Value")</f>
        <v>RECALC_1_320_</v>
      </c>
      <c r="AP6" s="401" t="e">
        <f ca="1">AP7</f>
        <v>#REF!</v>
      </c>
      <c r="AQ6" s="112" t="str">
        <f ca="1">_xll.DBRW('Value Tree TESTE'!A3,A10,A14,AM6,A20,A23,"PROD099 - Others","Thermal Sub. (%)","Value")</f>
        <v>RECALC_1_376_</v>
      </c>
      <c r="AS6" s="105">
        <v>54.5</v>
      </c>
      <c r="AT6" s="112" t="e">
        <v>#REF!</v>
      </c>
    </row>
    <row r="7" spans="1:46" ht="18" customHeight="1" outlineLevel="1">
      <c r="A7" t="s">
        <v>8</v>
      </c>
      <c r="B7"/>
      <c r="K7" s="113" t="s">
        <v>91</v>
      </c>
      <c r="L7" s="114">
        <f ca="1">IF(K3="+",IF(M5&gt;M7,1,IF(M5&gt;=M6,0,-1)),IF(K3="-",IF(M5&lt;M7,1,IF(M5&lt;=M6,0,-1))))</f>
        <v>1</v>
      </c>
      <c r="M7" s="115" t="str" cm="1">
        <f t="array" aca="1" ref="M7" ca="1">_xll.DBRW('Value Tree TESTE'!A6,A10,A13,K7,A20,A23,"Closing Balance Debt","Total Value")</f>
        <v>RECALC_1_140_</v>
      </c>
      <c r="N7" s="114">
        <f ca="1">IF(K3="+",IF(O5&gt;O7,1,IF(O5&gt;=O6,0,-1)),IF(K3="-",IF(O5&lt;O7,1,IF(O5&lt;=O6,0,-1))))</f>
        <v>1</v>
      </c>
      <c r="O7" s="116" t="str" cm="1">
        <f t="array" aca="1" ref="O7" ca="1">_xll.DBRW('Value Tree TESTE'!A6,A10,A14,K7,A20,A23,"Closing Balance Debt","Total Value")</f>
        <v>RECALC_1_141_</v>
      </c>
      <c r="P7" s="117"/>
      <c r="Q7" s="95"/>
      <c r="R7" s="113" t="s">
        <v>91</v>
      </c>
      <c r="S7" s="114">
        <f ca="1">IF(R3="+",IF(T5&gt;T7,1,IF(T5&gt;=T6,0,-1)),IF(R3="-",IF(T5&lt;T7,1,IF(T5&lt;=T6,0,-1))))</f>
        <v>0</v>
      </c>
      <c r="T7" s="115" t="str" cm="1">
        <f t="array" aca="1" ref="T7" ca="1">_xll.DBR(A4,A10,A13,R7,A20,A23,"PROD099 - Others","Net Revenue","Value")</f>
        <v>RECALC_1_78_</v>
      </c>
      <c r="U7" s="114">
        <f ca="1">IF(R3="+",IF(V5&gt;V7,1,IF(V5&gt;=V6,0,-1)),IF(R3="-",IF(V5&lt;V7,1,IF(V5&lt;=V6,0,-1))))</f>
        <v>-1</v>
      </c>
      <c r="V7" s="116" t="str" cm="1">
        <f t="array" aca="1" ref="V7" ca="1">_xll.DBR(A4,A10,A14,R7,A20,A23,"PROD099 - Others","Net Revenue","Value")</f>
        <v>RECALC_1_82_</v>
      </c>
      <c r="W7" s="87"/>
      <c r="Y7" s="113" t="s">
        <v>91</v>
      </c>
      <c r="Z7" s="114">
        <f ca="1">IF(Y3="+",IF(AA5&gt;AA7,1,IF(AA5&gt;=AA6,0,-1)),IF(Y3="-",IF(AA5&lt;AA7,1,IF(AA5&lt;=AA6,0,-1))))</f>
        <v>1</v>
      </c>
      <c r="AA7" s="115" t="str">
        <f ca="1">_xll.DBRW(A3,A10,A13,Y7,A20,A23,"PROD099 - Others","Volume","Value")</f>
        <v>RECALC_1_145_</v>
      </c>
      <c r="AB7" s="114">
        <f ca="1">IF(Y3="+",IF(AC5&gt;AC7,1,IF(AC5&gt;=AC6,0,-1)),IF(Y3="-",IF(AC5&lt;AC7,1,IF(AC5&lt;=AC6,0,-1))))</f>
        <v>0</v>
      </c>
      <c r="AC7" s="116" t="str">
        <f ca="1">_xll.DBRW(A3,A10,A14,Y7,A20,A23,"PROD099 - Others","Volume","Value")</f>
        <v>RECALC_1_79_</v>
      </c>
      <c r="AD7" s="117"/>
      <c r="AF7" s="113" t="s">
        <v>91</v>
      </c>
      <c r="AG7" s="114" t="e">
        <f ca="1">IF(AF3="+",IF(AH5&gt;AH7*(1+IF(AH7&gt;0,$C$4,-$C$4)),0,IF(AH5&gt;=AH6*(1+IF(AH6&gt;0,-$C$4,$C$4)),0,-1)),IF(AF3="-",IF(AH5&lt;AH7*(1+IF(AH7&gt;0,-$C$4,$C$4)),0,IF(AH5&lt;=AH6*(1+IF(AH6&gt;0,$C$4,-$C$4)),0,-1))))</f>
        <v>#VALUE!</v>
      </c>
      <c r="AH7" s="115" t="str">
        <f ca="1">_xll.DBRW('Value Tree TESTE'!A3,A10,A13,AF7,A20,A23,"PROD099 - Others","Fuel (LMU/t)","Value")</f>
        <v>RECALC_1_111_</v>
      </c>
      <c r="AI7" s="114" t="e">
        <f ca="1">IF(AF3="+",IF(AJ5&gt;AJ7*(1+IF(AJ7&gt;0,$C$4,-$C$4)),0,IF(AJ5&gt;=AJ6*(1+IF(AJ6&gt;0,-$C$4,$C$4)),0,-1)),IF(AF3="-",IF(AJ5&lt;AJ7*(1+IF(AJ7&gt;0,-$C$4,$C$4)),0,IF(AJ5&lt;=AJ6*(1+IF(AJ6&gt;0,$C$4,-$C$4)),0,-1))))</f>
        <v>#VALUE!</v>
      </c>
      <c r="AJ7" s="116" t="str">
        <f ca="1">_xll.DBRW('Value Tree TESTE'!A3,A10,A14,AF7,A20,A23,"PROD099 - Others","Fuel (LMU/t)","Value")</f>
        <v>RECALC_1_138_</v>
      </c>
      <c r="AK7" s="117"/>
      <c r="AM7" s="113" t="s">
        <v>91</v>
      </c>
      <c r="AN7" s="114" t="e">
        <f ca="1">IF(AM3="+",IF(AO5&gt;AO7*(1+IF(AO7&gt;0,$C$4,-$C$4)),1,IF(AO5&gt;=AO6*(1+IF(AO6&gt;0,-$C$4,$C$4)),0,-1)),IF(AM3="-",IF(AO5&lt;AO7*(1+IF(AO7&gt;0,-$C$4,$C$4)),1,IF(AO5&lt;=AO6*(1+IF(AO6&gt;0,$C$4,-$C$4)),0,-1))))</f>
        <v>#VALUE!</v>
      </c>
      <c r="AO7" s="111" t="str">
        <f ca="1">_xll.DBRW('Value Tree TESTE'!A3,A10,A13,AM7,A20,A23,"PROD099 - Others","Thermal Sub. (%)","Value")</f>
        <v>RECALC_1_144_</v>
      </c>
      <c r="AP7" s="114" t="e">
        <f ca="1">IF(AM3="+",IF(AT5&gt;AQ7*(1+IF(AQ7&gt;0,$C$4,-$C$4)),0,IF(AT5&gt;=AT6*(1+IF(AT6&gt;0,-$C$4,$C$4)),0,-1)),IF(AM3="-",IF(AT5&lt;AQ7*(1+IF(AQ7&gt;0,-$C$4,$C$4)),0,IF(AT5&lt;=AT6*(1+IF(AT6&gt;0,$C$4,-$C$4)),0,-1))))</f>
        <v>#REF!</v>
      </c>
      <c r="AQ7" s="118" t="str">
        <f ca="1">_xll.DBRW('Value Tree TESTE'!A3,A10,A14,AM7,A20,A23,"PROD099 - Others","Thermal Sub. (%)","Value")</f>
        <v>RECALC_1_83_</v>
      </c>
    </row>
    <row r="8" spans="1:46" ht="18" customHeight="1">
      <c r="A8"/>
      <c r="B8"/>
      <c r="K8" s="119"/>
      <c r="L8" s="120"/>
      <c r="M8" s="121"/>
      <c r="N8" s="120"/>
      <c r="O8" s="122"/>
      <c r="P8" s="117"/>
      <c r="Q8" s="95"/>
      <c r="R8" s="119"/>
      <c r="S8" s="123"/>
      <c r="T8" s="123"/>
      <c r="U8" s="123"/>
      <c r="V8" s="123"/>
      <c r="Y8" s="119"/>
      <c r="Z8" s="123"/>
      <c r="AA8" s="123"/>
      <c r="AB8" s="123"/>
      <c r="AC8" s="123"/>
      <c r="AD8" s="124"/>
      <c r="AF8" s="119"/>
      <c r="AG8" s="123"/>
      <c r="AH8" s="123"/>
      <c r="AI8" s="123"/>
      <c r="AJ8" s="123"/>
      <c r="AK8" s="124"/>
      <c r="AM8" s="119"/>
      <c r="AN8" s="123"/>
      <c r="AO8" s="123"/>
      <c r="AP8" s="123"/>
      <c r="AQ8" s="123"/>
      <c r="AS8" s="9">
        <v>5</v>
      </c>
    </row>
    <row r="9" spans="1:46" ht="18" customHeight="1">
      <c r="A9" s="2" t="s">
        <v>9</v>
      </c>
      <c r="B9" s="2"/>
      <c r="D9" s="89" t="s">
        <v>83</v>
      </c>
      <c r="E9" s="90"/>
      <c r="F9" s="90" t="s">
        <v>26</v>
      </c>
      <c r="G9" s="90"/>
      <c r="H9" s="91" t="s">
        <v>84</v>
      </c>
      <c r="I9" s="85"/>
      <c r="K9" s="89" t="s">
        <v>83</v>
      </c>
      <c r="L9" s="90"/>
      <c r="M9" s="90" t="s">
        <v>26</v>
      </c>
      <c r="N9" s="90"/>
      <c r="O9" s="91" t="s">
        <v>84</v>
      </c>
      <c r="P9" s="125"/>
      <c r="Q9" s="95"/>
      <c r="R9" s="89" t="s">
        <v>83</v>
      </c>
      <c r="S9" s="90"/>
      <c r="T9" s="90" t="s">
        <v>26</v>
      </c>
      <c r="U9" s="90"/>
      <c r="V9" s="91" t="s">
        <v>84</v>
      </c>
      <c r="W9" s="85"/>
      <c r="Y9" s="89" t="s">
        <v>83</v>
      </c>
      <c r="Z9" s="90"/>
      <c r="AA9" s="90" t="s">
        <v>26</v>
      </c>
      <c r="AB9" s="90"/>
      <c r="AC9" s="91" t="s">
        <v>84</v>
      </c>
      <c r="AD9" s="125"/>
      <c r="AF9" s="89" t="s">
        <v>85</v>
      </c>
      <c r="AG9" s="90"/>
      <c r="AH9" s="90" t="s">
        <v>26</v>
      </c>
      <c r="AI9" s="90"/>
      <c r="AJ9" s="91" t="s">
        <v>84</v>
      </c>
      <c r="AK9" s="125"/>
      <c r="AM9" s="89" t="s">
        <v>85</v>
      </c>
      <c r="AN9" s="90"/>
      <c r="AO9" s="90" t="s">
        <v>26</v>
      </c>
      <c r="AP9" s="90"/>
      <c r="AQ9" s="91" t="s">
        <v>84</v>
      </c>
      <c r="AS9"/>
    </row>
    <row r="10" spans="1:46" s="10" customFormat="1" ht="18" customHeight="1">
      <c r="A10" t="str">
        <f ca="1">_xll.SUBNM("CONS_VC:ALL.D.Year","","2025")</f>
        <v>RECALC_0_7_</v>
      </c>
      <c r="B10"/>
      <c r="D10" s="93"/>
      <c r="E10" s="218" t="s">
        <v>92</v>
      </c>
      <c r="F10" s="218" t="s">
        <v>92</v>
      </c>
      <c r="G10" s="219"/>
      <c r="H10" s="220"/>
      <c r="I10" s="94"/>
      <c r="J10" s="85"/>
      <c r="K10" s="93"/>
      <c r="L10" s="384" t="s">
        <v>93</v>
      </c>
      <c r="M10" s="385"/>
      <c r="N10" s="385"/>
      <c r="O10" s="386"/>
      <c r="P10" s="126"/>
      <c r="Q10" s="95"/>
      <c r="R10" s="93"/>
      <c r="S10" s="384" t="s">
        <v>94</v>
      </c>
      <c r="T10" s="385"/>
      <c r="U10" s="385"/>
      <c r="V10" s="386"/>
      <c r="W10" s="94"/>
      <c r="Y10" s="93"/>
      <c r="Z10" s="384" t="s">
        <v>95</v>
      </c>
      <c r="AA10" s="385"/>
      <c r="AB10" s="385"/>
      <c r="AC10" s="386"/>
      <c r="AD10" s="126"/>
      <c r="AF10" s="93"/>
      <c r="AG10" s="384" t="s">
        <v>96</v>
      </c>
      <c r="AH10" s="385"/>
      <c r="AI10" s="385"/>
      <c r="AJ10" s="386"/>
      <c r="AK10" s="126"/>
      <c r="AM10" s="93"/>
      <c r="AN10" s="384" t="s">
        <v>97</v>
      </c>
      <c r="AO10" s="385"/>
      <c r="AP10" s="385"/>
      <c r="AQ10" s="386"/>
      <c r="AS10"/>
    </row>
    <row r="11" spans="1:46" s="10" customFormat="1" ht="18" customHeight="1" thickBot="1">
      <c r="A11"/>
      <c r="B11"/>
      <c r="D11" s="93" t="str">
        <f ca="1">A17</f>
        <v>RECALC_0_5_</v>
      </c>
      <c r="E11" s="374" t="e">
        <f ca="1">E13</f>
        <v>#REF!</v>
      </c>
      <c r="F11" s="97" t="str">
        <f ca="1">_xll.DBRW('Value Tree TESTE'!A4,'Value Tree TESTE'!A10,'Value Tree TESTE'!A13,D11,'Value Tree TESTE'!A20,'Value Tree TESTE'!A23,'Value Tree TESTE'!A26,'Value Tree TESTE'!A29,A36)</f>
        <v>RECALC_1_439_</v>
      </c>
      <c r="G11" s="374" t="e">
        <f ca="1">G13</f>
        <v>#VALUE!</v>
      </c>
      <c r="H11" s="97" t="str">
        <f ca="1">_xll.DBRW('Value Tree TESTE'!A4,'Value Tree TESTE'!A10,'Value Tree TESTE'!A14,D11,'Value Tree TESTE'!A20,'Value Tree TESTE'!A23,'Value Tree TESTE'!A26,'Value Tree TESTE'!A29,A36)</f>
        <v>RECALC_1_172_</v>
      </c>
      <c r="I11" s="127"/>
      <c r="J11" s="128"/>
      <c r="K11" s="93" t="str">
        <f ca="1">A17</f>
        <v>RECALC_0_5_</v>
      </c>
      <c r="L11" s="374" t="e">
        <f ca="1">L13</f>
        <v>#VALUE!</v>
      </c>
      <c r="M11" s="96" t="str">
        <f ca="1">_xll.DBRW('Value Tree TESTE'!A3,A10,A13,K11,A20,A23,"PROD099 - Others","EBITDA LTM","Value")</f>
        <v>RECALC_1_388_</v>
      </c>
      <c r="N11" s="374" t="e">
        <f ca="1">N13</f>
        <v>#VALUE!</v>
      </c>
      <c r="O11" s="97" t="str">
        <f ca="1">_xll.DBRW('Value Tree TESTE'!A3,A10,A14,K11,A20,A23,"PROD099 - Others","EBITDA LTM","Value")</f>
        <v>RECALC_1_446_</v>
      </c>
      <c r="P11" s="129"/>
      <c r="Q11" s="99"/>
      <c r="R11" s="93" t="str">
        <f ca="1">A17</f>
        <v>RECALC_0_5_</v>
      </c>
      <c r="S11" s="374" t="e">
        <f ca="1">S13</f>
        <v>#VALUE!</v>
      </c>
      <c r="T11" s="97" t="e">
        <f ca="1">_xll.DBRW('Value Tree TESTE'!A3,A10,A13,R11,A20,A23,"Total Products","EBITDA LTM","Value")-_xll.DBRW('Value Tree TESTE'!A3,A10,A13,R11,A20,A23,"PRODCE010 - Cement","EBITDA LTM","Value")</f>
        <v>#VALUE!</v>
      </c>
      <c r="U11" s="374" t="e">
        <f ca="1">U13</f>
        <v>#VALUE!</v>
      </c>
      <c r="V11" s="97" t="e">
        <f ca="1">_xll.DBRW('Value Tree TESTE'!A3,A10,A14,R11,A20,A23,"Total Products","EBITDA LTM","Value")-_xll.DBRW('Value Tree TESTE'!A3,A10,A14,R11,A20,A23,"PRODCE010 - Cement","EBITDA LTM","Value")</f>
        <v>#VALUE!</v>
      </c>
      <c r="W11" s="98"/>
      <c r="Y11" s="93" t="str">
        <f ca="1">A17</f>
        <v>RECALC_0_5_</v>
      </c>
      <c r="Z11" s="374" t="e">
        <f ca="1">Z13</f>
        <v>#VALUE!</v>
      </c>
      <c r="AA11" s="97" t="str" cm="1">
        <f t="array" aca="1" ref="AA11" ca="1">_xll.DBRW(A7,A10,A13,Y11,A20,A23,"PROD099","Total Market","Reference Price [$/ton]")</f>
        <v>RECALC_1_476_</v>
      </c>
      <c r="AB11" s="374" t="e">
        <f ca="1">AB13</f>
        <v>#VALUE!</v>
      </c>
      <c r="AC11" s="97" t="str" cm="1">
        <f t="array" aca="1" ref="AC11" ca="1">_xll.DBRW(A7,A10,A14,Y11,A20,A23,"PROD099","Total Market","Reference Price [$/ton]")</f>
        <v>RECALC_1_398_</v>
      </c>
      <c r="AD11" s="109"/>
      <c r="AF11" s="93" t="str">
        <f ca="1">A17</f>
        <v>RECALC_0_5_</v>
      </c>
      <c r="AG11" s="374" t="e">
        <f ca="1">AG13</f>
        <v>#VALUE!</v>
      </c>
      <c r="AH11" s="96" t="str">
        <f ca="1">_xll.DBRW('Value Tree TESTE'!A3,A10,A13,AF11,A20,A23,"PROD099 - Others","CO2 Gross (kg/ton)","Value")</f>
        <v>RECALC_1_391_</v>
      </c>
      <c r="AI11" s="374" t="e">
        <f ca="1">AI13</f>
        <v>#VALUE!</v>
      </c>
      <c r="AJ11" s="97" t="str">
        <f ca="1">_xll.DBRW('Value Tree TESTE'!A3,A10,A14,AF11,A20,A23,"PROD099 - Others","CO2 Gross (kg/ton)","Value")</f>
        <v>RECALC_1_302_</v>
      </c>
      <c r="AK11" s="109"/>
      <c r="AL11" s="130"/>
      <c r="AM11" s="93" t="str">
        <f ca="1">A17</f>
        <v>RECALC_0_5_</v>
      </c>
      <c r="AN11" s="374" t="e">
        <f ca="1">AN13</f>
        <v>#VALUE!</v>
      </c>
      <c r="AO11" s="96" t="str">
        <f ca="1">_xll.DBRW(A3,A10,A13,AM11,A20,A23,"PROD099 - Others","Thermal C. (kcal/t kk)","Value")</f>
        <v>RECALC_1_432_</v>
      </c>
      <c r="AP11" s="398" t="e">
        <f ca="1">AP13</f>
        <v>#REF!</v>
      </c>
      <c r="AQ11" s="97" t="str">
        <f ca="1">_xll.DBRW(A3,A10,A14,AM11,A20,A23,"PROD099 - Others","Thermal C. (kcal/t kk)","Value")</f>
        <v>RECALC_1_237_</v>
      </c>
      <c r="AS11">
        <v>812</v>
      </c>
      <c r="AT11" s="97" t="e">
        <v>#REF!</v>
      </c>
    </row>
    <row r="12" spans="1:46" s="10" customFormat="1" ht="18" customHeight="1">
      <c r="A12" s="2" t="s">
        <v>10</v>
      </c>
      <c r="B12" s="2"/>
      <c r="C12" s="131"/>
      <c r="D12" s="93" t="str">
        <f ca="1">A18</f>
        <v>RECALC_0_4_</v>
      </c>
      <c r="E12" s="375" t="e">
        <f ca="1">E13</f>
        <v>#REF!</v>
      </c>
      <c r="F12" s="107" t="str">
        <f ca="1">_xll.DBRW('Value Tree TESTE'!A4,'Value Tree TESTE'!A10,'Value Tree TESTE'!A13,D12,'Value Tree TESTE'!A20,'Value Tree TESTE'!A23,'Value Tree TESTE'!A26,'Value Tree TESTE'!A29,A36)</f>
        <v>RECALC_1_369_</v>
      </c>
      <c r="G12" s="375" t="e">
        <f ca="1">G13</f>
        <v>#VALUE!</v>
      </c>
      <c r="H12" s="108" t="str">
        <f ca="1">_xll.DBRW('Value Tree TESTE'!A4,'Value Tree TESTE'!A10,'Value Tree TESTE'!A14,D12,'Value Tree TESTE'!A20,'Value Tree TESTE'!A23,'Value Tree TESTE'!A26,'Value Tree TESTE'!A29,A36)</f>
        <v>RECALC_1_201_</v>
      </c>
      <c r="I12" s="132"/>
      <c r="J12" s="85"/>
      <c r="K12" s="93" t="str">
        <f ca="1">A18</f>
        <v>RECALC_0_4_</v>
      </c>
      <c r="L12" s="375" t="e">
        <f ca="1">L13</f>
        <v>#VALUE!</v>
      </c>
      <c r="M12" s="107" t="str">
        <f ca="1">_xll.DBRW('Value Tree TESTE'!A3,A10,A13,K12,A20,A23,"PROD099 - Others","EBITDA LTM","Value")</f>
        <v>RECALC_1_225_</v>
      </c>
      <c r="N12" s="375" t="e">
        <f ca="1">N13</f>
        <v>#VALUE!</v>
      </c>
      <c r="O12" s="108" t="str">
        <f ca="1">_xll.DBRW('Value Tree TESTE'!A3,A10,A14,K12,A20,A23,"PROD099 - Others","EBITDA LTM","Value")</f>
        <v>RECALC_1_377_</v>
      </c>
      <c r="P12" s="110"/>
      <c r="Q12" s="95"/>
      <c r="R12" s="93" t="str">
        <f ca="1">A18</f>
        <v>RECALC_0_4_</v>
      </c>
      <c r="S12" s="375" t="e">
        <f ca="1">S13</f>
        <v>#VALUE!</v>
      </c>
      <c r="T12" s="108" t="e">
        <f ca="1">_xll.DBRW('Value Tree TESTE'!A3,A10,A13,R12,A20,A23,"Total Products","EBITDA LTM","Value")-_xll.DBRW('Value Tree TESTE'!A3,A10,A13,R12,A20,A23,"PRODCE010 - Cement","EBITDA LTM","Value")</f>
        <v>#VALUE!</v>
      </c>
      <c r="U12" s="375" t="e">
        <f ca="1">U13</f>
        <v>#VALUE!</v>
      </c>
      <c r="V12" s="108" t="e">
        <f ca="1">_xll.DBRW('Value Tree TESTE'!A3,A10,A14,R12,A20,A23,"Total Products","EBITDA LTM","Value")-_xll.DBRW('Value Tree TESTE'!A3,A10,A14,R12,A20,A23,"PRODCE010 - Cement","EBITDA LTM","Value")</f>
        <v>#VALUE!</v>
      </c>
      <c r="W12" s="98"/>
      <c r="Y12" s="93" t="str">
        <f ca="1">A18</f>
        <v>RECALC_0_4_</v>
      </c>
      <c r="Z12" s="375" t="e">
        <f ca="1">Z13</f>
        <v>#VALUE!</v>
      </c>
      <c r="AA12" s="108" t="str" cm="1">
        <f t="array" aca="1" ref="AA12" ca="1">_xll.DBRW(A7,A10,A13,Y12,A20,A23,"PROD099","Total Market","Reference Price [$/ton]")</f>
        <v>RECALC_1_319_</v>
      </c>
      <c r="AB12" s="375" t="e">
        <f ca="1">AB13</f>
        <v>#VALUE!</v>
      </c>
      <c r="AC12" s="108" t="str" cm="1">
        <f t="array" aca="1" ref="AC12" ca="1">_xll.DBRW(A7,A10,A14,Y12,A20,A23,"PROD099","Total Market","Reference Price [$/ton]")</f>
        <v>RECALC_1_417_</v>
      </c>
      <c r="AD12" s="109"/>
      <c r="AF12" s="93" t="str">
        <f ca="1">A18</f>
        <v>RECALC_0_4_</v>
      </c>
      <c r="AG12" s="375" t="e">
        <f ca="1">AG13</f>
        <v>#VALUE!</v>
      </c>
      <c r="AH12" s="107" t="str">
        <f ca="1">_xll.DBRW('Value Tree TESTE'!A3,A10,A13,AF12,A20,A23,"PROD099 - Others","CO2 Gross (kg/ton)","Value")</f>
        <v>RECALC_1_181_</v>
      </c>
      <c r="AI12" s="375" t="e">
        <f ca="1">AI13</f>
        <v>#VALUE!</v>
      </c>
      <c r="AJ12" s="108" t="str">
        <f ca="1">_xll.DBRW('Value Tree TESTE'!A3,A10,A14,AF12,A20,A23,"PROD099 - Others","CO2 Gross (kg/ton)","Value")</f>
        <v>RECALC_1_363_</v>
      </c>
      <c r="AK12" s="109"/>
      <c r="AM12" s="93" t="str">
        <f ca="1">A18</f>
        <v>RECALC_0_4_</v>
      </c>
      <c r="AN12" s="375" t="e">
        <f ca="1">AN13</f>
        <v>#VALUE!</v>
      </c>
      <c r="AO12" s="107" t="str">
        <f ca="1">_xll.DBRW(A3,A10,A13,AM12,A20,A23,"PROD099 - Others","Thermal C. (kcal/t kk)","Value")</f>
        <v>RECALC_1_408_</v>
      </c>
      <c r="AP12" s="399" t="e">
        <f ca="1">AP13</f>
        <v>#REF!</v>
      </c>
      <c r="AQ12" s="108" t="str">
        <f ca="1">_xll.DBRW(A3,A10,A14,AM12,A20,A23,"PROD099 - Others","Thermal C. (kcal/t kk)","Value")</f>
        <v>RECALC_1_214_</v>
      </c>
      <c r="AS12">
        <v>810</v>
      </c>
      <c r="AT12" s="108" t="e">
        <v>#REF!</v>
      </c>
    </row>
    <row r="13" spans="1:46" ht="18" customHeight="1" outlineLevel="1">
      <c r="A13" t="str">
        <f ca="1">_xll.SUBNM("CONS_VC:ALL.D.Month",,"Total YTD","MEMBER_NAME")</f>
        <v>RECALC_0_9_</v>
      </c>
      <c r="B13"/>
      <c r="D13" s="113" t="s">
        <v>91</v>
      </c>
      <c r="E13" s="114" t="e">
        <f ca="1">IF(D9="+",IF(#REF!&gt;F13*(1+IF(F13&gt;0,$C$4,-$C$4)),1,IF(#REF!&gt;=F12*(1+IF(F12&gt;0,-$C$4,$C$4)),0,-1)),IF(D9="-",IF(#REF!&lt;F13*(1+IF(F13&gt;0,-$C$4,$C$4)),1,IF(#REF!&lt;=F12*(1+IF(F12&gt;0,$C$4,-$C$4)),0,-1))))</f>
        <v>#REF!</v>
      </c>
      <c r="F13" s="115" t="str">
        <f ca="1">_xll.DBRW('Value Tree TESTE'!A4,'Value Tree TESTE'!A10,'Value Tree TESTE'!A13,D13,'Value Tree TESTE'!A20,'Value Tree TESTE'!A23,'Value Tree TESTE'!A26,'Value Tree TESTE'!A29,A36)</f>
        <v>RECALC_1_158_</v>
      </c>
      <c r="G13" s="114" t="e">
        <f ca="1">IF(D9="+",IF(H11&gt;H13*(1+IF(H13&gt;0,$C$4,-$C$4)),1,IF(H11&gt;=H12*(1+IF(H12&gt;0,-$C$4,$C$4)),0,-1)),IF(D9="-",IF(H11&lt;H13*(1+IF(H13&gt;0,-$C$4,$C$4)),1,IF(H11&lt;=H12*(1+IF(H12&gt;0,$C$4,-$C$4)),0,-1))))</f>
        <v>#VALUE!</v>
      </c>
      <c r="H13" s="116" t="str">
        <f ca="1">_xll.DBRW('Value Tree TESTE'!A4,'Value Tree TESTE'!A10,'Value Tree TESTE'!A14,D13,'Value Tree TESTE'!A20,'Value Tree TESTE'!A23,'Value Tree TESTE'!A26,'Value Tree TESTE'!A29,A36)</f>
        <v>RECALC_1_127_</v>
      </c>
      <c r="I13" s="133"/>
      <c r="K13" s="113" t="s">
        <v>91</v>
      </c>
      <c r="L13" s="114" t="e">
        <f ca="1">IF(K9="+",IF(M11&gt;M13*(1+IF(M13&gt;0,$C$4,-$C$4)),1,IF(M11&gt;=M12*(1+IF(M12&gt;0,-$C$4,$C$4)),0,-1)),IF(K9="-",IF(M11&lt;M13*(1+IF(M13&gt;0,-$C$4,$C$4)),1,IF(M11&lt;=M12*(1+IF(M12&gt;0,$C$4,-$C$4)),0,-1))))</f>
        <v>#VALUE!</v>
      </c>
      <c r="M13" s="115" t="str">
        <f ca="1">_xll.DBRW('Value Tree TESTE'!A3,A10,A13,K13,A20,A23,"PROD099 - Others","EBITDA LTM","Value")</f>
        <v>RECALC_1_151_</v>
      </c>
      <c r="N13" s="114" t="e">
        <f ca="1">IF(K9="+",IF(O11&gt;O13*(1+IF(O13&gt;0,$C$4,-$C$4)),1,IF(O11&gt;=O12*(1+IF(O12&gt;0,-$C$4,$C$4)),0,-1)),IF(K9="-",IF(O11&lt;O13*(1+IF(O13&gt;0,-$C$4,$C$4)),1,IF(O11&lt;=O12*(1+IF(O12&gt;0,$C$4,-$C$4)),0,-1))))</f>
        <v>#VALUE!</v>
      </c>
      <c r="O13" s="116" t="str">
        <f ca="1">_xll.DBRW('Value Tree TESTE'!A3,A10,A14,K13,A20,A23,"PROD099 - Others","EBITDA LTM","Value")</f>
        <v>RECALC_1_106_</v>
      </c>
      <c r="P13" s="125"/>
      <c r="Q13" s="95"/>
      <c r="R13" s="113" t="s">
        <v>91</v>
      </c>
      <c r="S13" s="114" t="e">
        <f ca="1">IF(R9="+",IF(T11&gt;T13,1,IF(T11&gt;=T12,0,-1)),IF(R9="-",IF(T11&lt;T13,1,IF(T11&lt;=T12,0,-1))))</f>
        <v>#VALUE!</v>
      </c>
      <c r="T13" s="108" t="e">
        <f ca="1">_xll.DBRW('Value Tree TESTE'!A3,A10,A13,R13,A20,A23,"Total Products","EBITDA LTM","Value")-_xll.DBRW('Value Tree TESTE'!A3,A10,A13,R13,A20,A23,"PRODCE010 - Cement","EBITDA LTM","Value")</f>
        <v>#VALUE!</v>
      </c>
      <c r="U13" s="114" t="e">
        <f ca="1">IF(R9="+",IF(V11&gt;V13,1,IF(V11&gt;=V12,0,-1)),IF(R9="-",IF(V11&lt;V13,1,IF(V11&lt;=V12,0,-1))))</f>
        <v>#VALUE!</v>
      </c>
      <c r="V13" s="116" t="e">
        <f ca="1">_xll.DBRW('Value Tree TESTE'!A3,A10,A14,R13,A20,A23,"Total Products","EBITDA LTM","Value")-_xll.DBRW('Value Tree TESTE'!A3,A10,A14,R13,A20,A23,"PRODCE010 - Cement","EBITDA LTM","Value")</f>
        <v>#VALUE!</v>
      </c>
      <c r="W13" s="87"/>
      <c r="Y13" s="113" t="s">
        <v>91</v>
      </c>
      <c r="Z13" s="114" t="e">
        <f ca="1">IF(Y9="+",IF(AA11&gt;AA13*(1+IF(AA13&gt;0,$C$4,-$C$4)),1,IF(AA11&gt;=AA12*(1+IF(AA12&gt;0,-$C$4,$C$4)),0,-1)),IF(Y9="-",IF(AA11&lt;AA13*(1+IF(AA13&gt;0,-$C$4,$C$4)),1,IF(AA11&lt;=AA12*(1+IF(AA12&gt;0,$C$4,-$C$4)),0,-1))))</f>
        <v>#VALUE!</v>
      </c>
      <c r="AA13" s="115" t="str" cm="1">
        <f t="array" aca="1" ref="AA13" ca="1">_xll.DBRW(A7,A10,A13,Y13,A20,A23,"PROD099","Total Market","Reference Price [$/ton]")</f>
        <v>RECALC_1_93_</v>
      </c>
      <c r="AB13" s="114" t="e">
        <f ca="1">IF(Y9="+",IF(AC11&gt;AC13*(1+IF(AC13&gt;0,$C$4,-$C$4)),1,IF(AC11&gt;=AC12*(1+IF(AC12&gt;0,-$C$4,$C$4)),0,-1)),IF(Y9="-",IF(AC11&lt;AC13*(1+IF(AC13&gt;0,-$C$4,$C$4)),1,IF(AC11&lt;=AC12*(1+IF(AC12&gt;0,$C$4,-$C$4)),0,-1))))</f>
        <v>#VALUE!</v>
      </c>
      <c r="AC13" s="116" t="str" cm="1">
        <f t="array" aca="1" ref="AC13" ca="1">_xll.DBRW(A7,A10,A14,Y13,A20,A23,"PROD099","Total Market","Reference Price [$/ton]")</f>
        <v>RECALC_1_116_</v>
      </c>
      <c r="AD13" s="117"/>
      <c r="AF13" s="113" t="s">
        <v>91</v>
      </c>
      <c r="AG13" s="114" t="e">
        <f ca="1">IF(AF9="+",IF(AH11&gt;AH13*(1+IF(AH13&gt;0,$C$4,-$C$4)),0,IF(AH11&gt;=AH12*(1+IF(AH12&gt;0,-$C$4,$C$4)),0,-1)),IF(AF9="-",IF(AH11&lt;AH13*(1+IF(AH13&gt;0,-$C$4,$C$4)),0,IF(AH11&lt;=AH12*(1+IF(AH12&gt;0,$C$4,-$C$4)),0,-1))))</f>
        <v>#VALUE!</v>
      </c>
      <c r="AH13" s="107" t="str">
        <f ca="1">_xll.DBRW('Value Tree TESTE'!A3,A10,A13,AF13,A20,A23,"PROD099 - Others","CO2 Gross (kg/ton)","Value")</f>
        <v>RECALC_1_131_</v>
      </c>
      <c r="AI13" s="114" t="e">
        <f ca="1">IF(AF9="+",IF(AJ11&gt;AJ13*(1+IF(AJ13&gt;0,$C$4,-$C$4)),0,IF(AJ11&gt;=AJ12*(1+IF(AJ12&gt;0,-$C$4,$C$4)),0,-1)),IF(AF9="-",IF(AJ11&lt;AJ13*(1+IF(AJ13&gt;0,-$C$4,$C$4)),0,IF(AJ11&lt;=AJ12*(1+IF(AJ12&gt;0,$C$4,-$C$4)),0,-1))))</f>
        <v>#VALUE!</v>
      </c>
      <c r="AJ13" s="116" t="str">
        <f ca="1">_xll.DBRW('Value Tree TESTE'!A3,A10,A14,AF13,A20,A23,"PROD099 - Others","CO2 Gross (kg/ton)","Value")</f>
        <v>RECALC_1_149_</v>
      </c>
      <c r="AK13" s="117"/>
      <c r="AM13" s="113" t="s">
        <v>91</v>
      </c>
      <c r="AN13" s="114" t="e">
        <f ca="1">IF(AM9="+",IF(AO11&gt;AO13*(1+IF(AO13&gt;0,$C$4,-$C$4)),0,IF(AO11&gt;=AO12*(1+IF(AO12&gt;0,-$C$4,$C$4)),0,-1)),IF(AM9="-",IF(AO11&lt;AO13*(1+IF(AO13&gt;0,-$C$4,$C$4)),0,IF(AO11&lt;=AO12*(1+IF(AO12&gt;0,$C$4,-$C$4)),0,-1))))</f>
        <v>#VALUE!</v>
      </c>
      <c r="AO13" s="107" t="str">
        <f ca="1">_xll.DBRW(A3,A10,A13,AM13,A20,A23,"PROD099 - Others","Thermal C. (kcal/t kk)","Value")</f>
        <v>RECALC_1_89_</v>
      </c>
      <c r="AP13" s="114" t="e">
        <f ca="1">IF(AM9="+",IF(AT11&gt;AQ13*(1+IF(AQ13&gt;0,$C$4,-$C$4)),0,IF(AT11&gt;=AT12*(1+IF(AT12&gt;0,-$C$4,$C$4)),0,-1)),IF(AM9="-",IF(AT11&lt;AQ13*(1+IF(AQ13&gt;0,-$C$4,$C$4)),0,IF(AT11&lt;=AT12*(1+IF(AT12&gt;0,$C$4,-$C$4)),0,-1))))</f>
        <v>#REF!</v>
      </c>
      <c r="AQ13" s="116" t="str">
        <f ca="1">_xll.DBRW(A3,A10,A14,AM13,A20,A23,"PROD099 - Others","Thermal C. (kcal/t kk)","Value")</f>
        <v>RECALC_1_143_</v>
      </c>
      <c r="AS13"/>
    </row>
    <row r="14" spans="1:46" ht="18" customHeight="1">
      <c r="A14" t="str">
        <f ca="1">_xll.SUBNM("CONS_VC:ALL.D.Month",,"Year","MEMBER_NAME")</f>
        <v>RECALC_0_10_</v>
      </c>
      <c r="B14"/>
      <c r="I14" s="134"/>
      <c r="K14" s="119"/>
      <c r="L14" s="119"/>
      <c r="M14" s="119"/>
      <c r="N14" s="119"/>
      <c r="O14" s="119"/>
      <c r="P14" s="125"/>
      <c r="Q14" s="95"/>
      <c r="Y14" s="119"/>
      <c r="Z14" s="123"/>
      <c r="AA14" s="123"/>
      <c r="AB14" s="123"/>
      <c r="AC14" s="123"/>
      <c r="AD14" s="124"/>
      <c r="AH14" s="135"/>
      <c r="AK14" s="124"/>
      <c r="AM14" s="119"/>
      <c r="AN14" s="123"/>
      <c r="AO14" s="123"/>
      <c r="AP14" s="123"/>
      <c r="AQ14" s="123"/>
      <c r="AS14"/>
    </row>
    <row r="15" spans="1:46" ht="18" customHeight="1">
      <c r="A15"/>
      <c r="B15"/>
      <c r="D15" s="89" t="s">
        <v>83</v>
      </c>
      <c r="E15" s="90"/>
      <c r="F15" s="90" t="s">
        <v>26</v>
      </c>
      <c r="G15" s="90"/>
      <c r="H15" s="91" t="s">
        <v>84</v>
      </c>
      <c r="I15" s="125"/>
      <c r="K15" s="89" t="s">
        <v>83</v>
      </c>
      <c r="L15" s="90"/>
      <c r="M15" s="90" t="s">
        <v>26</v>
      </c>
      <c r="N15" s="90"/>
      <c r="O15" s="91" t="s">
        <v>84</v>
      </c>
      <c r="P15" s="125"/>
      <c r="Q15" s="95"/>
      <c r="AD15" s="124"/>
      <c r="AF15" s="89" t="s">
        <v>85</v>
      </c>
      <c r="AG15" s="90"/>
      <c r="AH15" s="90" t="s">
        <v>26</v>
      </c>
      <c r="AI15" s="90"/>
      <c r="AJ15" s="91" t="s">
        <v>84</v>
      </c>
      <c r="AK15" s="125"/>
      <c r="AM15" s="89" t="s">
        <v>85</v>
      </c>
      <c r="AN15" s="90"/>
      <c r="AO15" s="90" t="s">
        <v>26</v>
      </c>
      <c r="AP15" s="90"/>
      <c r="AQ15" s="91" t="s">
        <v>84</v>
      </c>
      <c r="AS15"/>
    </row>
    <row r="16" spans="1:46" s="10" customFormat="1" ht="18" customHeight="1">
      <c r="A16" s="2" t="s">
        <v>11</v>
      </c>
      <c r="B16" s="2"/>
      <c r="C16" s="86"/>
      <c r="D16" s="93"/>
      <c r="E16" s="384" t="s">
        <v>98</v>
      </c>
      <c r="F16" s="385"/>
      <c r="G16" s="385"/>
      <c r="H16" s="386"/>
      <c r="I16" s="126"/>
      <c r="J16" s="85"/>
      <c r="K16" s="93"/>
      <c r="L16" s="384" t="s">
        <v>99</v>
      </c>
      <c r="M16" s="385"/>
      <c r="N16" s="385"/>
      <c r="O16" s="386"/>
      <c r="P16" s="126"/>
      <c r="Q16" s="95"/>
      <c r="R16" s="86"/>
      <c r="Y16" s="86"/>
      <c r="AD16" s="124"/>
      <c r="AF16" s="93"/>
      <c r="AG16" s="384" t="s">
        <v>100</v>
      </c>
      <c r="AH16" s="385"/>
      <c r="AI16" s="385"/>
      <c r="AJ16" s="386"/>
      <c r="AK16" s="126"/>
      <c r="AM16" s="93"/>
      <c r="AN16" s="384" t="s">
        <v>101</v>
      </c>
      <c r="AO16" s="385"/>
      <c r="AP16" s="385"/>
      <c r="AQ16" s="386"/>
      <c r="AS16"/>
    </row>
    <row r="17" spans="1:48" s="10" customFormat="1" ht="18" customHeight="1" thickBot="1">
      <c r="A17" t="str">
        <f ca="1">_xll.SUBNM("CONS_VC:ALL.D.Version",,"RF","Descrição")</f>
        <v>RECALC_0_5_</v>
      </c>
      <c r="B17"/>
      <c r="C17" s="131"/>
      <c r="D17" s="93" t="str">
        <f ca="1">A17</f>
        <v>RECALC_0_5_</v>
      </c>
      <c r="E17" s="374" t="e">
        <f ca="1">E19</f>
        <v>#REF!</v>
      </c>
      <c r="F17" s="97" t="str">
        <f ca="1">_xll.DBRW('Value Tree TESTE'!A5,'Value Tree TESTE'!A10,A13,D17,A20,A23,'Value Tree TESTE'!A32,'Value Tree TESTE'!A39)</f>
        <v>RECALC_1_436_</v>
      </c>
      <c r="G17" s="374" t="e">
        <f ca="1">G19</f>
        <v>#VALUE!</v>
      </c>
      <c r="H17" s="97" t="str">
        <f ca="1">_xll.DBRW('Value Tree TESTE'!A5,'Value Tree TESTE'!A10,A14,D17,A20,A23,'Value Tree TESTE'!A32,'Value Tree TESTE'!A39)</f>
        <v>RECALC_1_211_</v>
      </c>
      <c r="I17" s="109"/>
      <c r="J17" s="85"/>
      <c r="K17" s="93" t="str">
        <f ca="1">A17</f>
        <v>RECALC_0_5_</v>
      </c>
      <c r="L17" s="374" t="e">
        <f ca="1">L19</f>
        <v>#VALUE!</v>
      </c>
      <c r="M17" s="96" t="str">
        <f ca="1">_xll.DBRW('Value Tree TESTE'!A5,A10,A13,K17,A20,A23,"Expansion Capex",Planilha3!B$19)</f>
        <v>RECALC_1_364_</v>
      </c>
      <c r="N17" s="374" t="e">
        <f ca="1">N19</f>
        <v>#VALUE!</v>
      </c>
      <c r="O17" s="97" t="str">
        <f ca="1">_xll.DBRW('Value Tree TESTE'!A5,A10,A14,K17,A20,A23,"Expansion Capex",Planilha3!B$19)</f>
        <v>RECALC_1_223_</v>
      </c>
      <c r="P17" s="109"/>
      <c r="Q17" s="95"/>
      <c r="R17" s="86"/>
      <c r="Y17" s="86"/>
      <c r="AD17" s="124"/>
      <c r="AF17" s="93" t="str">
        <f ca="1">A17</f>
        <v>RECALC_0_5_</v>
      </c>
      <c r="AG17" s="374" t="e">
        <f ca="1">AG19</f>
        <v>#VALUE!</v>
      </c>
      <c r="AH17" s="96" t="str">
        <f ca="1">_xll.DBRW(A3,A10,A13,AF17,A20,A23,"PROD099 - Others","CO2 Net (kg/ton)","Value")</f>
        <v>RECALC_1_269_</v>
      </c>
      <c r="AI17" s="374" t="e">
        <f ca="1">AI19</f>
        <v>#VALUE!</v>
      </c>
      <c r="AJ17" s="97" t="str">
        <f ca="1">_xll.DBRW(A3,A10,A14,AF17,A20,A23,"PROD099 - Others","CO2 Net (kg/ton)","Value")</f>
        <v>RECALC_1_187_</v>
      </c>
      <c r="AK17" s="109"/>
      <c r="AL17" s="101"/>
      <c r="AM17" s="93" t="str">
        <f ca="1">A17</f>
        <v>RECALC_0_5_</v>
      </c>
      <c r="AN17" s="374" t="e">
        <f ca="1">AN19</f>
        <v>#VALUE!</v>
      </c>
      <c r="AO17" s="96" t="str">
        <f ca="1">_xll.DBRW(A3,A10,A13,AM17,A20,A23,"PROD099 - Others","Petcoke Price (LMU/t)","Value")</f>
        <v>RECALC_1_221_</v>
      </c>
      <c r="AP17" s="374" t="e">
        <f ca="1">AP19</f>
        <v>#VALUE!</v>
      </c>
      <c r="AQ17" s="97" t="str">
        <f ca="1">_xll.DBRW(A3,A10,A14,AM17,A20,A23,"PROD099 - Others","Petcoke Price (LMU/t)","Value")</f>
        <v>RECALC_1_256_</v>
      </c>
      <c r="AR17" s="136"/>
      <c r="AS17"/>
    </row>
    <row r="18" spans="1:48" s="10" customFormat="1" ht="18" customHeight="1">
      <c r="A18" t="str">
        <f ca="1">_xll.SUBNM("CONS_VC:ALL.D.Version",,"L300","MEMBER_NAME")</f>
        <v>RECALC_0_4_</v>
      </c>
      <c r="B18"/>
      <c r="C18" s="131"/>
      <c r="D18" s="93" t="str">
        <f ca="1">A18</f>
        <v>RECALC_0_4_</v>
      </c>
      <c r="E18" s="375" t="e">
        <f ca="1">E19</f>
        <v>#REF!</v>
      </c>
      <c r="F18" s="107" t="str">
        <f ca="1">_xll.DBRW('Value Tree TESTE'!A5,'Value Tree TESTE'!A10,A13,D18,A20,A23,'Value Tree TESTE'!A32,'Value Tree TESTE'!A39)</f>
        <v>RECALC_1_354_</v>
      </c>
      <c r="G18" s="375" t="e">
        <f ca="1">G19</f>
        <v>#VALUE!</v>
      </c>
      <c r="H18" s="108" t="str">
        <f ca="1">_xll.DBRW('Value Tree TESTE'!A5,'Value Tree TESTE'!A10,A14,D18,A20,A23,'Value Tree TESTE'!A32,'Value Tree TESTE'!A39)</f>
        <v>RECALC_1_360_</v>
      </c>
      <c r="I18" s="137"/>
      <c r="J18" s="138"/>
      <c r="K18" s="93" t="str">
        <f ca="1">A18</f>
        <v>RECALC_0_4_</v>
      </c>
      <c r="L18" s="375" t="e">
        <f ca="1">L19</f>
        <v>#VALUE!</v>
      </c>
      <c r="M18" s="107" t="str">
        <f ca="1">_xll.DBRW('Value Tree TESTE'!A5,A10,A13,K18,A20,A23,"Expansion Capex",Planilha3!B$19)</f>
        <v>RECALC_1_291_</v>
      </c>
      <c r="N18" s="375" t="e">
        <f ca="1">N19</f>
        <v>#VALUE!</v>
      </c>
      <c r="O18" s="108" t="str">
        <f ca="1">_xll.DBRW('Value Tree TESTE'!A5,A10,A14,K18,A20,A23,"Expansion Capex",Planilha3!B$19)</f>
        <v>RECALC_1_192_</v>
      </c>
      <c r="P18" s="109"/>
      <c r="Q18" s="95"/>
      <c r="R18" s="86"/>
      <c r="Y18" s="86"/>
      <c r="AD18" s="124"/>
      <c r="AF18" s="93" t="str">
        <f ca="1">A18</f>
        <v>RECALC_0_4_</v>
      </c>
      <c r="AG18" s="375" t="e">
        <f ca="1">AG19</f>
        <v>#VALUE!</v>
      </c>
      <c r="AH18" s="107" t="str">
        <f ca="1">_xll.DBRW(A3,A10,A13,AF18,A20,A23,"PROD099 - Others","CO2 Net (kg/ton)","Value")</f>
        <v>RECALC_1_491_</v>
      </c>
      <c r="AI18" s="375" t="e">
        <f ca="1">AI19</f>
        <v>#VALUE!</v>
      </c>
      <c r="AJ18" s="108" t="str">
        <f ca="1">_xll.DBRW(A3,A10,A14,AF18,A20,A23,"PROD099 - Others","CO2 Net (kg/ton)","Value")</f>
        <v>RECALC_1_352_</v>
      </c>
      <c r="AK18" s="98"/>
      <c r="AM18" s="93" t="str">
        <f ca="1">A18</f>
        <v>RECALC_0_4_</v>
      </c>
      <c r="AN18" s="375" t="e">
        <f ca="1">AN19</f>
        <v>#VALUE!</v>
      </c>
      <c r="AO18" s="107" t="str">
        <f ca="1">_xll.DBRW(A3,A10,A13,AM18,A20,A23,"PROD099 - Others","Petcoke Price (LMU/t)","Value")</f>
        <v>RECALC_1_295_</v>
      </c>
      <c r="AP18" s="375" t="e">
        <f ca="1">AP19</f>
        <v>#VALUE!</v>
      </c>
      <c r="AQ18" s="108" t="str">
        <f ca="1">_xll.DBRW(A3,A10,A14,AM18,A20,A23,"PROD099 - Others","Petcoke Price (LMU/t)","Value")</f>
        <v>RECALC_1_419_</v>
      </c>
      <c r="AS18"/>
    </row>
    <row r="19" spans="1:48" ht="18" customHeight="1" outlineLevel="1">
      <c r="A19" s="2" t="s">
        <v>12</v>
      </c>
      <c r="B19" s="2"/>
      <c r="C19" s="131"/>
      <c r="D19" s="113" t="s">
        <v>91</v>
      </c>
      <c r="E19" s="114" t="e">
        <f ca="1">IF(D15="+",IF(#REF!&gt;F19*(1+IF(F19&gt;0,$C$4,-$C$4)),1,IF(#REF!&gt;=F18*(1+IF(F18&gt;0,-$C$4,$C$4)),0,-1)),IF(D15="-",IF(#REF!&lt;F19*(1+IF(F19&gt;0,-$C$4,$C$4)),1,IF(#REF!&lt;=F18*(1+IF(F18&gt;0,$C$4,-$C$4)),0,-1))))</f>
        <v>#REF!</v>
      </c>
      <c r="F19" s="115" t="str">
        <f ca="1">_xll.DBRW('Value Tree TESTE'!A5,'Value Tree TESTE'!A10,A13,D19,A20,A23,'Value Tree TESTE'!A32,'Value Tree TESTE'!A39)</f>
        <v>RECALC_1_109_</v>
      </c>
      <c r="G19" s="114" t="e">
        <f ca="1">IF(D15="+",IF(H17&gt;H19*(1+IF(H19&gt;0,$C$4,-$C$4)),1,IF(H17&gt;=H18*(1+IF(H18&gt;0,-$C$4,$C$4)),0,-1)),IF(D15="-",IF(H17&lt;H19*(1+IF(H19&gt;0,-$C$4,$C$4)),1,IF(H17&lt;=H18*(1+IF(H18&gt;0,$C$4,-$C$4)),0,-1))))</f>
        <v>#VALUE!</v>
      </c>
      <c r="H19" s="116" t="str">
        <f ca="1">_xll.DBRW('Value Tree TESTE'!A5,'Value Tree TESTE'!A10,A14,D19,A20,A23,'Value Tree TESTE'!A32,'Value Tree TESTE'!A39)</f>
        <v>RECALC_1_107_</v>
      </c>
      <c r="I19" s="117"/>
      <c r="K19" s="113" t="s">
        <v>91</v>
      </c>
      <c r="L19" s="114" t="e">
        <f ca="1">IF(K15="+",IF(M17&gt;M19*(1+IF(M19&gt;0,$C$4,-$C$4)),1,IF(M17&gt;=M18*(1+IF(M18&gt;0,-$C$4,$C$4)),0,-1)),IF(K15="-",IF(M17&lt;M19*(1+IF(M19&gt;0,-$C$4,$C$4)),1,IF(M17&lt;=M18*(1+IF(M18&gt;0,$C$4,-$C$4)),0,-1))))</f>
        <v>#VALUE!</v>
      </c>
      <c r="M19" s="115" t="str">
        <f ca="1">_xll.DBRW('Value Tree TESTE'!A5,A10,A13,K19,A20,A23,"Expansion Capex",Planilha3!B$19)</f>
        <v>RECALC_1_115_</v>
      </c>
      <c r="N19" s="114" t="e">
        <f ca="1">IF(K15="+",IF(O17&gt;O19*(1+IF(O19&gt;0,$C$4,-$C$4)),1,IF(O17&gt;=O18*(1+IF(O18&gt;0,-$C$4,$C$4)),0,-1)),IF(K15="-",IF(O17&lt;O19*(1+IF(O19&gt;0,-$C$4,$C$4)),1,IF(O17&lt;=O18*(1+IF(O18&gt;0,$C$4,-$C$4)),0,-1))))</f>
        <v>#VALUE!</v>
      </c>
      <c r="O19" s="116" t="str">
        <f ca="1">_xll.DBRW('Value Tree TESTE'!A5,A10,A14,K19,A20,A23,"Expansion Capex",Planilha3!B$19)</f>
        <v>RECALC_1_150_</v>
      </c>
      <c r="P19" s="117"/>
      <c r="Q19" s="95"/>
      <c r="AD19" s="124"/>
      <c r="AF19" s="113" t="s">
        <v>91</v>
      </c>
      <c r="AG19" s="114" t="e">
        <f ca="1">IF(AF15="+",IF(AH17&gt;AH19*(1+IF(AH19&gt;0,$C$4,-$C$4)),0,IF(AH17&gt;=AH18*(1+IF(AH18&gt;0,-$C$4,$C$4)),0,-1)),IF(AF15="-",IF(AH17&lt;AH19*(1+IF(AH19&gt;0,-$C$4,$C$4)),0,IF(AH17&lt;=AH18*(1+IF(AH18&gt;0,$C$4,-$C$4)),0,-1))))</f>
        <v>#VALUE!</v>
      </c>
      <c r="AH19" s="107" t="str">
        <f ca="1">_xll.DBRW(A3,A10,A13,AF19,A20,A23,"PROD099 - Others","CO2 Net (kg/ton)","Value")</f>
        <v>RECALC_1_132_</v>
      </c>
      <c r="AI19" s="114" t="e">
        <f ca="1">IF(AF15="+",IF(AJ17&gt;AJ19*(1+IF(AJ19&gt;0,$C$4,-$C$4)),0,IF(AJ17&gt;=AJ18*(1+IF(AJ18&gt;0,-$C$4,$C$4)),0,-1)),IF(AF15="-",IF(AJ17&lt;AJ19*(1+IF(AJ19&gt;0,-$C$4,$C$4)),0,IF(AJ17&lt;=AJ18*(1+IF(AJ18&gt;0,$C$4,-$C$4)),0,-1))))</f>
        <v>#VALUE!</v>
      </c>
      <c r="AJ19" s="116" t="str">
        <f ca="1">_xll.DBRW(A3,A10,A14,AF19,A20,A23,"PROD099 - Others","CO2 Net (kg/ton)","Value")</f>
        <v>RECALC_1_110_</v>
      </c>
      <c r="AK19" s="87"/>
      <c r="AM19" s="113" t="s">
        <v>91</v>
      </c>
      <c r="AN19" s="114" t="e">
        <f ca="1">IF(AM15="+",IF(AO17&gt;AO19*(1+IF(AO19&gt;0,$C$4,-$C$4)),0,IF(AO17&gt;=AO18*(1+IF(AO18&gt;0,-$C$4,$C$4)),0,-1)),IF(AM15="-",IF(AO17&lt;AO19*(1+IF(AO19&gt;0,-$C$4,$C$4)),0,IF(AO17&lt;=AO18*(1+IF(AO18&gt;0,$C$4,-$C$4)),0,-1))))</f>
        <v>#VALUE!</v>
      </c>
      <c r="AO19" s="107" t="str">
        <f ca="1">_xll.DBRW(A3,A10,A13,AM19,A20,A23,"PROD099 - Others","Petcoke Price (LMU/t)","Value")</f>
        <v>RECALC_1_136_</v>
      </c>
      <c r="AP19" s="114" t="e">
        <f ca="1">IF(AM15="+",IF(AQ17&gt;AQ19*(1+IF(AQ19&gt;0,$C$4,-$C$4)),0,IF(AQ17&gt;=AQ18*(1+IF(AQ18&gt;0,-$C$4,$C$4)),0,-1)),IF(AM15="-",IF(AQ17&lt;AQ19*(1+IF(AQ19&gt;0,-$C$4,$C$4)),0,IF(AQ17&lt;=AQ18*(1+IF(AQ18&gt;0,$C$4,-$C$4)),0,-1))))</f>
        <v>#VALUE!</v>
      </c>
      <c r="AQ19" s="116" t="str">
        <f ca="1">_xll.DBRW(A3,A10,A14,AM19,A20,A23,"PROD099 - Others","Petcoke Price (LMU/t)","Value")</f>
        <v>RECALC_1_154_</v>
      </c>
      <c r="AS19"/>
    </row>
    <row r="20" spans="1:48" ht="18" customHeight="1">
      <c r="A20" t="str">
        <f ca="1">_xll.SUBNM("CONS_VC:ALL.D.Currency","","BRL")</f>
        <v>RECALC_0_8_</v>
      </c>
      <c r="B20"/>
      <c r="C20" s="131"/>
      <c r="D20" s="139"/>
      <c r="E20" s="140"/>
      <c r="F20" s="140"/>
      <c r="G20" s="140"/>
      <c r="H20" s="140"/>
      <c r="I20" s="134"/>
      <c r="K20" s="119"/>
      <c r="L20" s="120"/>
      <c r="M20" s="122"/>
      <c r="N20" s="120"/>
      <c r="O20" s="122"/>
      <c r="P20" s="117"/>
      <c r="Q20" s="95"/>
      <c r="AD20" s="124"/>
      <c r="AM20" s="119"/>
      <c r="AN20" s="123"/>
      <c r="AO20" s="123"/>
      <c r="AP20" s="123"/>
      <c r="AQ20" s="123"/>
      <c r="AS20"/>
    </row>
    <row r="21" spans="1:48" ht="18" customHeight="1">
      <c r="A21"/>
      <c r="B21"/>
      <c r="C21" s="131"/>
      <c r="D21" s="89" t="s">
        <v>83</v>
      </c>
      <c r="E21" s="90">
        <f>V20</f>
        <v>0</v>
      </c>
      <c r="F21" s="90" t="s">
        <v>26</v>
      </c>
      <c r="G21" s="90"/>
      <c r="H21" s="91" t="s">
        <v>84</v>
      </c>
      <c r="I21" s="125"/>
      <c r="K21" s="89" t="s">
        <v>83</v>
      </c>
      <c r="L21" s="90"/>
      <c r="M21" s="90" t="s">
        <v>26</v>
      </c>
      <c r="N21" s="90"/>
      <c r="O21" s="91" t="s">
        <v>84</v>
      </c>
      <c r="P21" s="125"/>
      <c r="Q21" s="95"/>
      <c r="R21" s="89" t="s">
        <v>85</v>
      </c>
      <c r="S21" s="90"/>
      <c r="T21" s="90" t="s">
        <v>26</v>
      </c>
      <c r="U21" s="90"/>
      <c r="V21" s="91" t="s">
        <v>84</v>
      </c>
      <c r="W21" s="85"/>
      <c r="Y21" s="89" t="s">
        <v>85</v>
      </c>
      <c r="Z21" s="90"/>
      <c r="AA21" s="90" t="s">
        <v>26</v>
      </c>
      <c r="AB21" s="90"/>
      <c r="AC21" s="91" t="s">
        <v>84</v>
      </c>
      <c r="AD21" s="125"/>
      <c r="AF21" s="89" t="s">
        <v>85</v>
      </c>
      <c r="AG21" s="90"/>
      <c r="AH21" s="90" t="s">
        <v>26</v>
      </c>
      <c r="AI21" s="90"/>
      <c r="AJ21" s="91" t="s">
        <v>84</v>
      </c>
      <c r="AK21" s="85"/>
      <c r="AM21" s="89" t="s">
        <v>85</v>
      </c>
      <c r="AN21" s="90"/>
      <c r="AO21" s="90" t="s">
        <v>26</v>
      </c>
      <c r="AP21" s="90"/>
      <c r="AQ21" s="91" t="s">
        <v>84</v>
      </c>
      <c r="AS21"/>
    </row>
    <row r="22" spans="1:48" s="10" customFormat="1" ht="18" customHeight="1">
      <c r="A22" s="2" t="s">
        <v>13</v>
      </c>
      <c r="B22" s="2"/>
      <c r="C22" s="131"/>
      <c r="D22" s="93"/>
      <c r="E22" s="384" t="s">
        <v>102</v>
      </c>
      <c r="F22" s="385"/>
      <c r="G22" s="385"/>
      <c r="H22" s="386"/>
      <c r="I22" s="126"/>
      <c r="J22" s="85"/>
      <c r="K22" s="93"/>
      <c r="L22" s="384" t="s">
        <v>103</v>
      </c>
      <c r="M22" s="385"/>
      <c r="N22" s="385"/>
      <c r="O22" s="386"/>
      <c r="P22" s="126"/>
      <c r="Q22" s="95"/>
      <c r="R22" s="93"/>
      <c r="S22" s="384" t="s">
        <v>104</v>
      </c>
      <c r="T22" s="385"/>
      <c r="U22" s="385"/>
      <c r="V22" s="386"/>
      <c r="W22" s="94"/>
      <c r="Y22" s="93"/>
      <c r="Z22" s="384" t="s">
        <v>105</v>
      </c>
      <c r="AA22" s="385"/>
      <c r="AB22" s="385"/>
      <c r="AC22" s="386"/>
      <c r="AD22" s="126"/>
      <c r="AF22" s="93"/>
      <c r="AG22" s="384" t="s">
        <v>106</v>
      </c>
      <c r="AH22" s="385"/>
      <c r="AI22" s="385"/>
      <c r="AJ22" s="386"/>
      <c r="AK22" s="94"/>
      <c r="AM22" s="93"/>
      <c r="AN22" s="395" t="s">
        <v>107</v>
      </c>
      <c r="AO22" s="396"/>
      <c r="AP22" s="396"/>
      <c r="AQ22" s="397"/>
      <c r="AS22"/>
    </row>
    <row r="23" spans="1:48" s="10" customFormat="1" ht="18" customHeight="1" thickBot="1">
      <c r="A23" t="str">
        <f ca="1">_xll.SUBNM("CONS_VC:ALL.D.Region","","VCBR")</f>
        <v>RECALC_0_6_</v>
      </c>
      <c r="B23"/>
      <c r="C23" s="131"/>
      <c r="D23" s="93" t="str">
        <f ca="1">A17</f>
        <v>RECALC_0_5_</v>
      </c>
      <c r="E23" s="374">
        <f ca="1">E25</f>
        <v>1</v>
      </c>
      <c r="F23" s="103" t="str">
        <f ca="1">_xll.DBRW('Value Tree TESTE'!A3,A10,A13,D23,A20,A23,A26,"% ROIC","Value")</f>
        <v>RECALC_1_455_</v>
      </c>
      <c r="G23" s="374">
        <f ca="1">G25</f>
        <v>1</v>
      </c>
      <c r="H23" s="104" t="str">
        <f ca="1">_xll.DBRW('Value Tree TESTE'!A3,A10,A14,D23,A20,A23,A26,"% ROIC","Value")</f>
        <v>RECALC_1_343_</v>
      </c>
      <c r="I23" s="109"/>
      <c r="J23" s="85"/>
      <c r="K23" s="93" t="str">
        <f ca="1">A17</f>
        <v>RECALC_0_5_</v>
      </c>
      <c r="L23" s="374" t="e">
        <f ca="1">L25</f>
        <v>#VALUE!</v>
      </c>
      <c r="M23" s="96" t="str">
        <f ca="1">_xll.DBRW('Value Tree TESTE'!A3,A10,A13,K23,A20,A23,"PROD099 - Others","Working Capital Balance","Value")</f>
        <v>RECALC_1_290_</v>
      </c>
      <c r="N23" s="374" t="e">
        <f ca="1">N25</f>
        <v>#VALUE!</v>
      </c>
      <c r="O23" s="97" t="str">
        <f ca="1">_xll.DBRW('Value Tree TESTE'!A3,A10,A14,K23,A20,A23,"PROD099 - Others","Working Capital Balance","Value")</f>
        <v>RECALC_1_245_</v>
      </c>
      <c r="P23" s="109"/>
      <c r="Q23" s="99"/>
      <c r="R23" s="93" t="str">
        <f ca="1">A17</f>
        <v>RECALC_0_5_</v>
      </c>
      <c r="S23" s="374" t="e">
        <f ca="1">S25</f>
        <v>#VALUE!</v>
      </c>
      <c r="T23" s="96" t="e">
        <f ca="1">AA23+AA29</f>
        <v>#VALUE!</v>
      </c>
      <c r="U23" s="391" t="e">
        <f ca="1">U25</f>
        <v>#VALUE!</v>
      </c>
      <c r="V23" s="97" t="e">
        <f ca="1">AC23+AC29</f>
        <v>#VALUE!</v>
      </c>
      <c r="W23" s="100"/>
      <c r="X23" s="101"/>
      <c r="Y23" s="93" t="str">
        <f ca="1">A17</f>
        <v>RECALC_0_5_</v>
      </c>
      <c r="Z23" s="374">
        <f ca="1">Z25</f>
        <v>0</v>
      </c>
      <c r="AA23" s="96">
        <f ca="1">SUM(AH5,AH23,AH29,AH35)</f>
        <v>0</v>
      </c>
      <c r="AB23" s="374">
        <f ca="1">AB25</f>
        <v>0</v>
      </c>
      <c r="AC23" s="97">
        <f ca="1">SUM(AJ5,AJ23,AJ29,AJ35)</f>
        <v>0</v>
      </c>
      <c r="AD23" s="129"/>
      <c r="AE23" s="101"/>
      <c r="AF23" s="93" t="str">
        <f ca="1">A17</f>
        <v>RECALC_0_5_</v>
      </c>
      <c r="AG23" s="374" t="e">
        <f ca="1">AG25</f>
        <v>#VALUE!</v>
      </c>
      <c r="AH23" s="96" t="str">
        <f ca="1">_xll.DBRW('Value Tree TESTE'!A3,A10,A13,AF23,A20,A23,"PROD099 - Others","Power (LMU/t)","Value")</f>
        <v>RECALC_1_287_</v>
      </c>
      <c r="AI23" s="374" t="e">
        <f ca="1">AI25</f>
        <v>#VALUE!</v>
      </c>
      <c r="AJ23" s="97" t="str">
        <f ca="1">_xll.DBRW('Value Tree TESTE'!A3,A10,A14,AF23,A20,A23,"PROD099 - Others","Power (LMU/t)","Value")</f>
        <v>RECALC_1_396_</v>
      </c>
      <c r="AK23" s="100"/>
      <c r="AL23" s="101"/>
      <c r="AM23" s="93" t="str">
        <f ca="1">A17</f>
        <v>RECALC_0_5_</v>
      </c>
      <c r="AN23" s="393" t="e">
        <f ca="1">AN25</f>
        <v>#VALUE!</v>
      </c>
      <c r="AO23" s="96" t="str">
        <f ca="1">_xll.DBRW(A3,A10,A13,AM23,A20,A23,"PROD099 - Others","Power Price (LMU/MWh)","Value")</f>
        <v>RECALC_1_472_</v>
      </c>
      <c r="AP23" s="374" t="e">
        <f ca="1">AP25</f>
        <v>#VALUE!</v>
      </c>
      <c r="AQ23" s="97" t="str">
        <f ca="1">_xll.DBRW(A3,A10,A14,AM23,A20,A23,"PROD099 - Others","Power Price (LMU/MWh)","Value")</f>
        <v>RECALC_1_327_</v>
      </c>
      <c r="AS23"/>
      <c r="AT23" s="141"/>
    </row>
    <row r="24" spans="1:48" s="10" customFormat="1" ht="18" customHeight="1">
      <c r="A24"/>
      <c r="B24"/>
      <c r="C24" s="131"/>
      <c r="D24" s="93" t="str">
        <f ca="1">A18</f>
        <v>RECALC_0_4_</v>
      </c>
      <c r="E24" s="375">
        <f ca="1">E25</f>
        <v>1</v>
      </c>
      <c r="F24" s="111" t="str">
        <f ca="1">_xll.DBRW('Value Tree TESTE'!A3,A10,A13,D24,A20,A23,A26,"% ROIC","Value")</f>
        <v>RECALC_1_283_</v>
      </c>
      <c r="G24" s="375">
        <f ca="1">G25</f>
        <v>1</v>
      </c>
      <c r="H24" s="112" t="str">
        <f ca="1">_xll.DBRW('Value Tree TESTE'!A3,A10,A14,D24,A20,A23,A26,"% ROIC","Value")</f>
        <v>RECALC_1_483_</v>
      </c>
      <c r="I24" s="109"/>
      <c r="J24" s="138"/>
      <c r="K24" s="93" t="str">
        <f ca="1">A18</f>
        <v>RECALC_0_4_</v>
      </c>
      <c r="L24" s="375" t="e">
        <f ca="1">L25</f>
        <v>#VALUE!</v>
      </c>
      <c r="M24" s="107" t="str">
        <f ca="1">_xll.DBRW('Value Tree TESTE'!A3,A10,A13,K24,A20,A23,"PROD099 - Others","Working Capital Balance","Value")</f>
        <v>RECALC_1_349_</v>
      </c>
      <c r="N24" s="375" t="e">
        <f ca="1">N25</f>
        <v>#VALUE!</v>
      </c>
      <c r="O24" s="108" t="str">
        <f ca="1">_xll.DBRW('Value Tree TESTE'!A3,A10,A14,K24,A20,A23,"PROD099 - Others","Working Capital Balance","Value")</f>
        <v>RECALC_1_322_</v>
      </c>
      <c r="P24" s="109"/>
      <c r="Q24" s="95"/>
      <c r="R24" s="93" t="str">
        <f ca="1">A18</f>
        <v>RECALC_0_4_</v>
      </c>
      <c r="S24" s="375" t="e">
        <f ca="1">S25</f>
        <v>#VALUE!</v>
      </c>
      <c r="T24" s="107" t="e">
        <f ca="1">AA24+AA30</f>
        <v>#VALUE!</v>
      </c>
      <c r="U24" s="392" t="e">
        <f ca="1">U25</f>
        <v>#VALUE!</v>
      </c>
      <c r="V24" s="108" t="e">
        <f ca="1">AC24+AC30</f>
        <v>#VALUE!</v>
      </c>
      <c r="W24" s="110"/>
      <c r="Y24" s="93" t="str">
        <f ca="1">A18</f>
        <v>RECALC_0_4_</v>
      </c>
      <c r="Z24" s="375">
        <f ca="1">Z25</f>
        <v>0</v>
      </c>
      <c r="AA24" s="107">
        <f ca="1">SUM(AH6,AH24,AH30,AH36)</f>
        <v>0</v>
      </c>
      <c r="AB24" s="375">
        <f ca="1">AB25</f>
        <v>0</v>
      </c>
      <c r="AC24" s="108">
        <f ca="1">SUM(AJ6,AJ24,AJ30,AJ36)</f>
        <v>0</v>
      </c>
      <c r="AD24" s="110"/>
      <c r="AF24" s="93" t="str">
        <f ca="1">A18</f>
        <v>RECALC_0_4_</v>
      </c>
      <c r="AG24" s="375" t="e">
        <f ca="1">AG25</f>
        <v>#VALUE!</v>
      </c>
      <c r="AH24" s="107" t="str">
        <f ca="1">_xll.DBRW('Value Tree TESTE'!A3,A10,A13,AF24,A20,A23,"PROD099 - Others","Power (LMU/t)","Value")</f>
        <v>RECALC_1_234_</v>
      </c>
      <c r="AI24" s="375" t="e">
        <f ca="1">AI25</f>
        <v>#VALUE!</v>
      </c>
      <c r="AJ24" s="108" t="str">
        <f ca="1">_xll.DBRW('Value Tree TESTE'!A3,A10,A14,AF24,A20,A23,"PROD099 - Others","Power (LMU/t)","Value")</f>
        <v>RECALC_1_310_</v>
      </c>
      <c r="AK24" s="110"/>
      <c r="AM24" s="93" t="str">
        <f ca="1">A18</f>
        <v>RECALC_0_4_</v>
      </c>
      <c r="AN24" s="394" t="e">
        <f ca="1">AN25</f>
        <v>#VALUE!</v>
      </c>
      <c r="AO24" s="142" t="str">
        <f ca="1">_xll.DBRW(A3,A10,A13,AM24,A20,A23,"PROD099 - Others","Power Price (LMU/MWh)","Value")</f>
        <v>RECALC_1_250_</v>
      </c>
      <c r="AP24" s="390" t="e">
        <f ca="1">AP25</f>
        <v>#VALUE!</v>
      </c>
      <c r="AQ24" s="108" t="str">
        <f ca="1">_xll.DBRW(A3,A10,A14,AM24,A20,A23,"PROD099 - Others","Power Price (LMU/MWh)","Value")</f>
        <v>RECALC_1_279_</v>
      </c>
      <c r="AS24"/>
    </row>
    <row r="25" spans="1:48" ht="18" customHeight="1" outlineLevel="1">
      <c r="A25" s="2" t="s">
        <v>14</v>
      </c>
      <c r="B25" s="2"/>
      <c r="C25" s="131"/>
      <c r="D25" s="113" t="s">
        <v>91</v>
      </c>
      <c r="E25" s="143">
        <f ca="1">IF(D21="+",IF(F23&gt;F25,1,IF(F23&gt;=F24,0,-1)),IF(D21="-",IF(F23&lt;F25,1,IF(F23&lt;=F24,0,-1))))</f>
        <v>1</v>
      </c>
      <c r="F25" s="144" t="str">
        <f ca="1">_xll.DBRW('Value Tree TESTE'!A3,A10,A13,D25,A20,A23,A26,"% ROIC","Value")</f>
        <v>RECALC_1_155_</v>
      </c>
      <c r="G25" s="143">
        <f ca="1">IF(D21="+",IF(H23&gt;H25,1,IF(H23&gt;=H24,0,-1)),IF(D21="-",IF(H23&lt;H25,1,IF(H23&lt;=H24,0,-1))))</f>
        <v>1</v>
      </c>
      <c r="H25" s="118" t="str">
        <f ca="1">_xll.DBRW('Value Tree TESTE'!A3,A10,A14,D25,A20,A23,A26,"% ROIC","Value")</f>
        <v>RECALC_1_153_</v>
      </c>
      <c r="I25" s="117"/>
      <c r="K25" s="113" t="s">
        <v>91</v>
      </c>
      <c r="L25" s="114" t="e">
        <f ca="1">IF(K21="+",IF(M23&gt;M25*(1+IF(M25&gt;0,$C$4,-$C$4)),1,IF(M23&gt;=M24*(1+IF(M24&gt;0,-$C$4,$C$4)),0,-1)),IF(K21="-",IF(M23&lt;M25*(1+IF(M25&gt;0,-$C$4,$C$4)),1,IF(M23&lt;=M24*(1+IF(M24&gt;0,$C$4,-$C$4)),0,-1))))</f>
        <v>#VALUE!</v>
      </c>
      <c r="M25" s="115" t="str">
        <f ca="1">_xll.DBRW('Value Tree TESTE'!A3,A10,A13,K25,A20,A23,"PROD099 - Others","Working Capital Balance","Value")</f>
        <v>RECALC_1_113_</v>
      </c>
      <c r="N25" s="114" t="e">
        <f ca="1">IF(K21="+",IF(O23&gt;O25*(1+IF(O25&gt;0,$C$4,-$C$4)),1,IF(O23&gt;=O24*(1+IF(O24&gt;0,-$C$4,$C$4)),0,-1)),IF(K21="-",IF(O23&lt;O25*(1+IF(O25&gt;0,-$C$4,$C$4)),1,IF(O23&lt;=O24*(1+IF(O24&gt;0,$C$4,-$C$4)),0,-1))))</f>
        <v>#VALUE!</v>
      </c>
      <c r="O25" s="115" t="str">
        <f ca="1">_xll.DBRW('Value Tree TESTE'!A3,A10,A14,K25,A20,A23,"PROD099 - Others","Working Capital Balance","Value")</f>
        <v>RECALC_1_161_</v>
      </c>
      <c r="P25" s="117"/>
      <c r="Q25" s="95"/>
      <c r="R25" s="113" t="s">
        <v>91</v>
      </c>
      <c r="S25" s="114" t="e">
        <f ca="1">IF(R21="+",IF(T23&gt;T25*(1+IF(T25&gt;0,$C$4,-$C$4)),1,IF(T23&gt;=T24*(1+IF(T24&gt;0,-$C$4,$C$4)),0,-1)),IF(R21="-",IF(T23&lt;T25*(1+IF(T25&gt;0,-$C$4,$C$4)),1,IF(T23&lt;=T24*(1+IF(T24&gt;0,$C$4,-$C$4)),0,-1))))</f>
        <v>#VALUE!</v>
      </c>
      <c r="T25" s="116" t="e">
        <f ca="1">AA25+AA31</f>
        <v>#VALUE!</v>
      </c>
      <c r="U25" s="114" t="e">
        <f ca="1">IF(R21="+",IF(V23&gt;V25*(1+IF(V25&gt;0,$C$4,-$C$4)),1,IF(V23&gt;=V24*(1+IF(V24&gt;0,-$C$4,$C$4)),0,-1)),IF(R21="-",IF(V23&lt;V25*(1+IF(V25&gt;0,-$C$4,$C$4)),1,IF(V23&lt;=V24*(1+IF(V24&gt;0,$C$4,-$C$4)),0,-1))))</f>
        <v>#VALUE!</v>
      </c>
      <c r="V25" s="116" t="e">
        <f ca="1">AC25+AC31</f>
        <v>#VALUE!</v>
      </c>
      <c r="W25" s="117"/>
      <c r="Y25" s="113" t="s">
        <v>91</v>
      </c>
      <c r="Z25" s="114">
        <f ca="1">IF(Y21="+",IF(AA23&gt;AA25*(1+IF(AA25&gt;0,$C$4,-$C$4)),0,IF(AA23&gt;=AA24*(1+IF(AA24&gt;0,-$C$4,$C$4)),0,-1)),IF(Y21="-",IF(AA23&lt;AA25*(1+IF(AA25&gt;0,-$C$4,$C$4)),0,IF(AA23&lt;=AA24*(1+IF(AA24&gt;0,$C$4,-$C$4)),0,-1))))</f>
        <v>0</v>
      </c>
      <c r="AA25" s="107">
        <f ca="1">SUM(AH7,AH25,AH31,AH37)</f>
        <v>0</v>
      </c>
      <c r="AB25" s="114">
        <f ca="1">IF(Y21="+",IF(AC23&gt;AC25*(1+IF(AC25&gt;0,$C$4,-$C$4)),0,IF(AC23&gt;=AC24*(1+IF(AC24&gt;0,-$C$4,$C$4)),0,-1)),IF(Y21="-",IF(AC23&lt;AC25*(1+IF(AC25&gt;0,-$C$4,$C$4)),0,IF(AC23&lt;=AC24*(1+IF(AC24&gt;0,$C$4,-$C$4)),0,-1))))</f>
        <v>0</v>
      </c>
      <c r="AC25" s="108">
        <f ca="1">SUM(AJ7,AJ25,AJ31,AJ37)</f>
        <v>0</v>
      </c>
      <c r="AD25" s="117"/>
      <c r="AF25" s="113" t="s">
        <v>91</v>
      </c>
      <c r="AG25" s="114" t="e">
        <f ca="1">IF(AF21="+",IF(AH23&gt;AH25*(1+IF(AH25&gt;0,$C$4,-$C$4)),0,IF(AH23&gt;=AH24*(1+IF(AH24&gt;0,-$C$4,$C$4)),0,-1)),IF(AF21="-",IF(AH23&lt;AH25*(1+IF(AH25&gt;0,-$C$4,$C$4)),0,IF(AH23&lt;=AH24*(1+IF(AH24&gt;0,$C$4,-$C$4)),0,-1))))</f>
        <v>#VALUE!</v>
      </c>
      <c r="AH25" s="115" t="str">
        <f ca="1">_xll.DBRW('Value Tree TESTE'!A3,A10,A13,AF25,A20,A23,"PROD099 - Others","Power (LMU/t)","Value")</f>
        <v>RECALC_1_146_</v>
      </c>
      <c r="AI25" s="114" t="e">
        <f ca="1">IF(AF21="+",IF(AJ23&gt;AJ25*(1+IF(AJ25&gt;0,$C$4,-$C$4)),0,IF(AJ23&gt;=AJ24*(1+IF(AJ24&gt;0,-$C$4,$C$4)),0,-1)),IF(AF21="-",IF(AJ23&lt;AJ25*(1+IF(AJ25&gt;0,-$C$4,$C$4)),0,IF(AJ23&lt;=AJ24*(1+IF(AJ24&gt;0,$C$4,-$C$4)),0,-1))))</f>
        <v>#VALUE!</v>
      </c>
      <c r="AJ25" s="116" t="str">
        <f ca="1">_xll.DBRW('Value Tree TESTE'!A3,A10,A14,AF25,A20,A23,"PROD099 - Others","Power (LMU/t)","Value")</f>
        <v>RECALC_1_139_</v>
      </c>
      <c r="AK25" s="117"/>
      <c r="AM25" s="113" t="s">
        <v>91</v>
      </c>
      <c r="AN25" s="114" t="e">
        <f ca="1">IF(AM21="+",IF(AO23&gt;AO25*(1+IF(AO25&gt;0,$C$4,-$C$4)),0,IF(AO23&gt;=AO24*(1+IF(AO24&gt;0,-$C$4,$C$4)),0,-1)),IF(AM21="-",IF(AO23&lt;AO25*(1+IF(AO25&gt;0,-$C$4,$C$4)),0,IF(AO23&lt;=AO24*(1+IF(AO24&gt;0,$C$4,-$C$4)),0,-1))))</f>
        <v>#VALUE!</v>
      </c>
      <c r="AO25" s="142" t="str">
        <f ca="1">_xll.DBRW(A3,A10,A13,AM25,A20,A23,"PROD099 - Others","Power Price (LMU/MWh)","Value")</f>
        <v>RECALC_1_81_</v>
      </c>
      <c r="AP25" s="114" t="e">
        <f ca="1">IF(AM21="+",IF(AQ23&gt;AQ25*(1+IF(AQ25&gt;0,$C$4,-$C$4)),0,IF(AQ23&gt;=AQ24*(1+IF(AQ24&gt;0,-$C$4,$C$4)),0,-1)),IF(AM21="-",IF(AQ23&lt;AQ25*(1+IF(AQ25&gt;0,-$C$4,$C$4)),0,IF(AQ23&lt;=AQ24*(1+IF(AQ24&gt;0,$C$4,-$C$4)),0,-1))))</f>
        <v>#VALUE!</v>
      </c>
      <c r="AQ25" s="116" t="str">
        <f ca="1">_xll.DBRW(A3,A10,A14,AM25,A20,A23,"PROD099 - Others","Power Price (LMU/MWh)","Value")</f>
        <v>RECALC_1_166_</v>
      </c>
      <c r="AS25"/>
      <c r="AU25" s="9" t="e">
        <f ca="1">S25</f>
        <v>#VALUE!</v>
      </c>
    </row>
    <row r="26" spans="1:48" ht="18" customHeight="1">
      <c r="A26" t="str">
        <f ca="1">_xll.SUBNM("CONS_VC:ALL.D.Products","","Total Products")</f>
        <v>RECALC_0_11_</v>
      </c>
      <c r="B26"/>
      <c r="C26" s="131"/>
      <c r="D26" s="139"/>
      <c r="E26" s="140"/>
      <c r="F26" s="140"/>
      <c r="G26" s="140"/>
      <c r="H26" s="140"/>
      <c r="I26" s="134"/>
      <c r="K26" s="119"/>
      <c r="L26" s="120"/>
      <c r="M26" s="122"/>
      <c r="N26" s="120"/>
      <c r="O26" s="122"/>
      <c r="P26" s="117"/>
      <c r="Q26" s="95"/>
      <c r="R26" s="119"/>
      <c r="S26" s="123"/>
      <c r="T26" s="123"/>
      <c r="U26" s="123"/>
      <c r="V26" s="123"/>
      <c r="W26" s="124"/>
      <c r="Y26" s="119"/>
      <c r="Z26" s="123"/>
      <c r="AA26" s="123"/>
      <c r="AB26" s="123"/>
      <c r="AC26" s="123"/>
      <c r="AD26" s="124"/>
      <c r="AF26" s="119"/>
      <c r="AG26" s="123"/>
      <c r="AH26" s="123"/>
      <c r="AI26" s="123"/>
      <c r="AJ26" s="123"/>
      <c r="AK26" s="124"/>
      <c r="AM26" s="119"/>
      <c r="AN26" s="123"/>
      <c r="AO26" s="123"/>
      <c r="AP26" s="123"/>
      <c r="AQ26" s="123"/>
      <c r="AS26"/>
      <c r="AT26"/>
      <c r="AU26"/>
      <c r="AV26"/>
    </row>
    <row r="27" spans="1:48" ht="18" customHeight="1">
      <c r="A27"/>
      <c r="B27"/>
      <c r="C27" s="131"/>
      <c r="I27" s="134"/>
      <c r="K27" s="89" t="s">
        <v>83</v>
      </c>
      <c r="L27" s="90"/>
      <c r="M27" s="90" t="s">
        <v>26</v>
      </c>
      <c r="N27" s="90"/>
      <c r="O27" s="91" t="s">
        <v>84</v>
      </c>
      <c r="P27" s="125"/>
      <c r="Q27" s="95"/>
      <c r="R27" s="89" t="s">
        <v>85</v>
      </c>
      <c r="S27" s="90"/>
      <c r="T27" s="90" t="s">
        <v>26</v>
      </c>
      <c r="U27" s="90"/>
      <c r="V27" s="91" t="s">
        <v>84</v>
      </c>
      <c r="W27" s="125"/>
      <c r="Y27" s="89" t="s">
        <v>85</v>
      </c>
      <c r="Z27" s="90"/>
      <c r="AA27" s="90" t="s">
        <v>26</v>
      </c>
      <c r="AB27" s="90"/>
      <c r="AC27" s="91" t="s">
        <v>84</v>
      </c>
      <c r="AD27" s="125"/>
      <c r="AF27" s="89" t="s">
        <v>85</v>
      </c>
      <c r="AG27" s="90"/>
      <c r="AH27" s="90" t="s">
        <v>26</v>
      </c>
      <c r="AI27" s="90"/>
      <c r="AJ27" s="91" t="s">
        <v>84</v>
      </c>
      <c r="AK27" s="125"/>
      <c r="AM27" s="89" t="s">
        <v>85</v>
      </c>
      <c r="AN27" s="90"/>
      <c r="AO27" s="90" t="s">
        <v>26</v>
      </c>
      <c r="AP27" s="90"/>
      <c r="AQ27" s="91" t="s">
        <v>84</v>
      </c>
      <c r="AS27"/>
      <c r="AT27"/>
      <c r="AU27"/>
      <c r="AV27"/>
    </row>
    <row r="28" spans="1:48" s="10" customFormat="1" ht="18" customHeight="1">
      <c r="A28" s="2" t="s">
        <v>15</v>
      </c>
      <c r="B28" s="2"/>
      <c r="C28" s="131"/>
      <c r="D28" s="83"/>
      <c r="E28" s="84"/>
      <c r="F28" s="84"/>
      <c r="G28" s="84"/>
      <c r="H28" s="84"/>
      <c r="I28" s="134"/>
      <c r="J28" s="85"/>
      <c r="K28" s="93"/>
      <c r="L28" s="384" t="s">
        <v>108</v>
      </c>
      <c r="M28" s="385"/>
      <c r="N28" s="385"/>
      <c r="O28" s="386"/>
      <c r="P28" s="126"/>
      <c r="Q28" s="95"/>
      <c r="R28" s="93"/>
      <c r="S28" s="384" t="s">
        <v>109</v>
      </c>
      <c r="T28" s="385"/>
      <c r="U28" s="385"/>
      <c r="V28" s="386"/>
      <c r="W28" s="126"/>
      <c r="Y28" s="93"/>
      <c r="Z28" s="384" t="s">
        <v>110</v>
      </c>
      <c r="AA28" s="385"/>
      <c r="AB28" s="385"/>
      <c r="AC28" s="386"/>
      <c r="AD28" s="126"/>
      <c r="AF28" s="93"/>
      <c r="AG28" s="384" t="s">
        <v>111</v>
      </c>
      <c r="AH28" s="385"/>
      <c r="AI28" s="385"/>
      <c r="AJ28" s="386"/>
      <c r="AK28" s="126"/>
      <c r="AM28" s="93"/>
      <c r="AN28" s="384" t="s">
        <v>112</v>
      </c>
      <c r="AO28" s="385"/>
      <c r="AP28" s="385"/>
      <c r="AQ28" s="386"/>
      <c r="AS28"/>
      <c r="AT28"/>
      <c r="AU28"/>
      <c r="AV28"/>
    </row>
    <row r="29" spans="1:48" s="10" customFormat="1" ht="18" customHeight="1" thickBot="1">
      <c r="A29" t="s">
        <v>16</v>
      </c>
      <c r="B29"/>
      <c r="C29" s="131"/>
      <c r="D29" s="83"/>
      <c r="E29" s="84"/>
      <c r="F29" s="84"/>
      <c r="G29" s="84"/>
      <c r="H29" s="84"/>
      <c r="I29" s="134"/>
      <c r="J29" s="128"/>
      <c r="K29" s="93" t="str">
        <f ca="1">A17</f>
        <v>RECALC_0_5_</v>
      </c>
      <c r="L29" s="374" t="e">
        <f ca="1">L31</f>
        <v>#VALUE!</v>
      </c>
      <c r="M29" s="96" t="str">
        <f ca="1">_xll.DBRW('Value Tree TESTE'!A3,A10,A13,K29,A20,A23,"PROD099 - Others","Income Tax LTM","Value")</f>
        <v>RECALC_1_406_</v>
      </c>
      <c r="N29" s="374" t="e">
        <f ca="1">N31</f>
        <v>#VALUE!</v>
      </c>
      <c r="O29" s="97" t="str">
        <f ca="1">_xll.DBRW('Value Tree TESTE'!A3,A10,A14,K29,A20,A23,"PROD099 - Others","Income Tax LTM","Value")</f>
        <v>RECALC_1_238_</v>
      </c>
      <c r="P29" s="109"/>
      <c r="Q29" s="99"/>
      <c r="R29" s="93" t="str">
        <f ca="1">A17</f>
        <v>RECALC_0_5_</v>
      </c>
      <c r="S29" s="374" t="e">
        <f ca="1">S31</f>
        <v>#VALUE!</v>
      </c>
      <c r="T29" s="96" t="str" cm="1">
        <f t="array" aca="1" ref="T29" ca="1">_xll.DBRW(A4,A10,A13,R29,A20,A23,"PROD099","Fixed Costs","Total Value")</f>
        <v>RECALC_1_422_</v>
      </c>
      <c r="U29" s="374">
        <v>-109.89653689546083</v>
      </c>
      <c r="V29" s="97" t="str" cm="1">
        <f t="array" aca="1" ref="V29" ca="1">_xll.DBRW(A4,A10,A14,R29,A20,A23,"PROD099","Fixed Costs","Total Value")</f>
        <v>RECALC_1_213_</v>
      </c>
      <c r="W29" s="109"/>
      <c r="X29" s="101"/>
      <c r="Y29" s="93" t="str">
        <f ca="1">A17</f>
        <v>RECALC_0_5_</v>
      </c>
      <c r="Z29" s="374" t="e">
        <f ca="1">Z31</f>
        <v>#VALUE!</v>
      </c>
      <c r="AA29" s="96" t="str">
        <f ca="1">_xll.DBRW('Value Tree TESTE'!A3,A10,A13,Y29,A20,A23,"PROD099 - Others","Cement Fix. Costs (LMU/t)","Value")</f>
        <v>RECALC_1_220_</v>
      </c>
      <c r="AB29" s="374" t="e">
        <f ca="1">AB31</f>
        <v>#VALUE!</v>
      </c>
      <c r="AC29" s="97" t="str">
        <f ca="1">_xll.DBRW('Value Tree TESTE'!A3,A10,A14,Y29,A20,A23,"PROD099 - Others","Cement Fix. Costs (LMU/t)","Value")</f>
        <v>RECALC_1_180_</v>
      </c>
      <c r="AD29" s="109"/>
      <c r="AE29" s="101"/>
      <c r="AF29" s="93" t="str">
        <f ca="1">A17</f>
        <v>RECALC_0_5_</v>
      </c>
      <c r="AG29" s="374" t="e">
        <f ca="1">AG31</f>
        <v>#VALUE!</v>
      </c>
      <c r="AH29" s="96" t="str">
        <f ca="1">_xll.DBRW('Value Tree TESTE'!A3,A10,A13,AF29,A20,A23,"PROD099 - Others","Raw Material (LMU/t)","Value")</f>
        <v>RECALC_1_342_</v>
      </c>
      <c r="AI29" s="374" t="e">
        <f ca="1">AI31</f>
        <v>#VALUE!</v>
      </c>
      <c r="AJ29" s="97" t="str">
        <f ca="1">_xll.DBRW('Value Tree TESTE'!A3,A10,A14,AF29,A20,A23,"PROD099 - Others","Raw Material (LMU/t)","Value")</f>
        <v>RECALC_1_427_</v>
      </c>
      <c r="AK29" s="109"/>
      <c r="AL29" s="130"/>
      <c r="AM29" s="93" t="str">
        <f ca="1">A17</f>
        <v>RECALC_0_5_</v>
      </c>
      <c r="AN29" s="374" t="e">
        <f ca="1">AN31</f>
        <v>#VALUE!</v>
      </c>
      <c r="AO29" s="96" t="str">
        <f ca="1">_xll.DBRW(A3,A10,A13,AM29,A20,A23,"PROD099 - Others","Power Cons. (kWh/t)","Value")</f>
        <v>RECALC_1_488_</v>
      </c>
      <c r="AP29" s="374">
        <v>94.454379440394945</v>
      </c>
      <c r="AQ29" s="97" t="str">
        <f ca="1">_xll.DBRW(A3,A10,A14,AM29,A20,A23,"PROD099 - Others","Power Cons. (kWh/t)","Value")</f>
        <v>RECALC_1_477_</v>
      </c>
      <c r="AS29"/>
      <c r="AT29"/>
      <c r="AU29"/>
      <c r="AV29"/>
    </row>
    <row r="30" spans="1:48" s="10" customFormat="1" ht="18" customHeight="1">
      <c r="A30"/>
      <c r="B30"/>
      <c r="C30" s="131"/>
      <c r="D30" s="83"/>
      <c r="E30" s="84"/>
      <c r="F30" s="84"/>
      <c r="G30" s="84"/>
      <c r="H30" s="84"/>
      <c r="I30" s="134"/>
      <c r="J30" s="145"/>
      <c r="K30" s="93" t="str">
        <f ca="1">A18</f>
        <v>RECALC_0_4_</v>
      </c>
      <c r="L30" s="375" t="e">
        <f ca="1">L31</f>
        <v>#VALUE!</v>
      </c>
      <c r="M30" s="107" t="str">
        <f ca="1">_xll.DBRW('Value Tree TESTE'!A3,A10,A13,K30,A20,A23,"PROD099 - Others","Income Tax LTM","Value")</f>
        <v>RECALC_1_231_</v>
      </c>
      <c r="N30" s="375" t="e">
        <f ca="1">N31</f>
        <v>#VALUE!</v>
      </c>
      <c r="O30" s="108" t="str">
        <f ca="1">_xll.DBRW('Value Tree TESTE'!A3,A10,A14,K30,A20,A23,"PROD099 - Others","Income Tax LTM","Value")</f>
        <v>RECALC_1_286_</v>
      </c>
      <c r="P30" s="109"/>
      <c r="Q30" s="146"/>
      <c r="R30" s="93" t="str">
        <f ca="1">A18</f>
        <v>RECALC_0_4_</v>
      </c>
      <c r="S30" s="375" t="e">
        <f ca="1">S31</f>
        <v>#VALUE!</v>
      </c>
      <c r="T30" s="107" t="str" cm="1">
        <f t="array" aca="1" ref="T30" ca="1">_xll.DBRW(A4,A10,A13,R30,A20,A23,"PROD099","Fixed Costs","Total Value")</f>
        <v>RECALC_1_236_</v>
      </c>
      <c r="U30" s="375" t="e">
        <f ca="1">U31</f>
        <v>#VALUE!</v>
      </c>
      <c r="V30" s="108" t="str" cm="1">
        <f t="array" aca="1" ref="V30" ca="1">_xll.DBRW(A4,A10,A14,R30,A20,A23,"PROD099","Fixed Costs","Total Value")</f>
        <v>RECALC_1_328_</v>
      </c>
      <c r="W30" s="98"/>
      <c r="Y30" s="93" t="str">
        <f ca="1">A18</f>
        <v>RECALC_0_4_</v>
      </c>
      <c r="Z30" s="375" t="e">
        <f ca="1">Z31</f>
        <v>#VALUE!</v>
      </c>
      <c r="AA30" s="107" t="str">
        <f ca="1">_xll.DBRW('Value Tree TESTE'!A3,A10,A13,Y30,A20,A23,"PROD099 - Others","Cement Fix. Costs (LMU/t)","Value")</f>
        <v>RECALC_1_469_</v>
      </c>
      <c r="AB30" s="375" t="e">
        <f ca="1">AB31</f>
        <v>#VALUE!</v>
      </c>
      <c r="AC30" s="108" t="str">
        <f ca="1">_xll.DBRW('Value Tree TESTE'!A3,A10,A14,Y30,A20,A23,"PROD099 - Others","Cement Fix. Costs (LMU/t)","Value")</f>
        <v>RECALC_1_458_</v>
      </c>
      <c r="AD30" s="109"/>
      <c r="AF30" s="93" t="str">
        <f ca="1">A18</f>
        <v>RECALC_0_4_</v>
      </c>
      <c r="AG30" s="375" t="e">
        <f ca="1">AG31</f>
        <v>#VALUE!</v>
      </c>
      <c r="AH30" s="107" t="str">
        <f ca="1">_xll.DBRW('Value Tree TESTE'!A3,A10,A13,AF30,A20,A23,"PROD099 - Others","Raw Material (LMU/t)","Value")</f>
        <v>RECALC_1_459_</v>
      </c>
      <c r="AI30" s="375" t="e">
        <f ca="1">AI31</f>
        <v>#VALUE!</v>
      </c>
      <c r="AJ30" s="108" t="str">
        <f ca="1">_xll.DBRW('Value Tree TESTE'!A3,A10,A14,AF30,A20,A23,"PROD099 - Others","Raw Material (LMU/t)","Value")</f>
        <v>RECALC_1_348_</v>
      </c>
      <c r="AK30" s="109"/>
      <c r="AM30" s="93" t="str">
        <f ca="1">A18</f>
        <v>RECALC_0_4_</v>
      </c>
      <c r="AN30" s="375" t="e">
        <f ca="1">AN31</f>
        <v>#VALUE!</v>
      </c>
      <c r="AO30" s="107" t="str">
        <f ca="1">_xll.DBRW(A3,A10,A13,AM30,A20,A23,"PROD099 - Others","Power Cons. (kWh/t)","Value")</f>
        <v>RECALC_1_484_</v>
      </c>
      <c r="AP30" s="375" t="e">
        <f ca="1">AP31</f>
        <v>#VALUE!</v>
      </c>
      <c r="AQ30" s="108" t="str">
        <f ca="1">_xll.DBRW(A3,A10,A14,AM30,A20,A23,"PROD099 - Others","Power Cons. (kWh/t)","Value")</f>
        <v>RECALC_1_228_</v>
      </c>
      <c r="AS30"/>
      <c r="AT30"/>
      <c r="AU30"/>
      <c r="AV30"/>
    </row>
    <row r="31" spans="1:48" ht="18" customHeight="1" outlineLevel="1">
      <c r="A31" s="8" t="s">
        <v>17</v>
      </c>
      <c r="B31" s="8"/>
      <c r="I31" s="134"/>
      <c r="J31" s="145"/>
      <c r="K31" s="113" t="s">
        <v>91</v>
      </c>
      <c r="L31" s="114" t="e">
        <f ca="1">IF(K27="+",IF(M29&gt;M31*(1+IF(M31&gt;0,$C$4,-$C$4)),0,IF(M29&gt;=M30*(1+IF(M30&gt;0,-$C$4,$C$4)),0,-1)),IF(K27="-",IF(M29&lt;M31*(1+IF(M31&gt;0,-$C$4,$C$4)),0,IF(M29&lt;=M30*(1+IF(M30&gt;0,$C$4,-$C$4)),0,-1))))</f>
        <v>#VALUE!</v>
      </c>
      <c r="M31" s="115" t="str">
        <f ca="1">_xll.DBRW('Value Tree TESTE'!A3,A10,A13,K31,A20,A23,"PROD099 - Others","Income Tax LTM","Value")</f>
        <v>RECALC_1_148_</v>
      </c>
      <c r="N31" s="114" t="e">
        <f ca="1">IF(K27="+",IF(O29&gt;O31*(1+IF(O31&gt;0,$C$4,-$C$4)),0,IF(O29&gt;=O30*(1+IF(O30&gt;0,-$C$4,$C$4)),0,-1)),IF(K27="-",IF(O29&lt;O31*(1+IF(O31&gt;0,-$C$4,$C$4)),0,IF(O29&lt;=O30*(1+IF(O30&gt;0,$C$4,-$C$4)),0,-1))))</f>
        <v>#VALUE!</v>
      </c>
      <c r="O31" s="115" t="str">
        <f ca="1">_xll.DBRW('Value Tree TESTE'!A3,A10,A14,K31,A20,A23,"PROD099 - Others","Income Tax LTM","Value")</f>
        <v>RECALC_1_142_</v>
      </c>
      <c r="P31" s="117"/>
      <c r="Q31" s="95"/>
      <c r="R31" s="113" t="s">
        <v>91</v>
      </c>
      <c r="S31" s="114" t="e">
        <f ca="1">IF(R27="+",IF(T29&gt;T31*(1+IF(T31&gt;0,$C$4,-$C$4)),0,IF(T29&gt;=T30*(1+IF(T30&gt;0,-$C$4,$C$4)),0,-1)),IF(R27="-",IF(T29&lt;T31*(1+IF(T31&gt;0,-$C$4,$C$4)),0,IF(T29&lt;=T30*(1+IF(T30&gt;0,$C$4,-$C$4)),0,-1))))</f>
        <v>#VALUE!</v>
      </c>
      <c r="T31" s="107" t="str" cm="1">
        <f t="array" aca="1" ref="T31" ca="1">_xll.DBRW(A4,A10,A13,R31,A20,A23,"PROD099","Fixed Costs","Total Value")</f>
        <v>RECALC_1_147_</v>
      </c>
      <c r="U31" s="114" t="e">
        <f ca="1">IF(R27="+",IF(V29&gt;V31*(1+IF(V31&gt;0,$C$4,-$C$4)),0,IF(V29&gt;=V30*(1+IF(V30&gt;0,-$C$4,$C$4)),0,-1)),IF(R27="-",IF(V29&lt;V31*(1+IF(V31&gt;0,-$C$4,$C$4)),0,IF(V29&lt;=V30*(1+IF(V30&gt;0,$C$4,-$C$4)),0,-1))))</f>
        <v>#VALUE!</v>
      </c>
      <c r="V31" s="116" t="str" cm="1">
        <f t="array" aca="1" ref="V31" ca="1">_xll.DBRW(A4,A10,A14,R31,A20,A23,"PROD099","Fixed Costs","Total Value")</f>
        <v>RECALC_1_162_</v>
      </c>
      <c r="W31" s="87"/>
      <c r="Y31" s="113" t="s">
        <v>91</v>
      </c>
      <c r="Z31" s="114" t="e">
        <f ca="1">IF(Y27="+",IF(AA29&gt;AA31*(1+IF(AA31&gt;0,$C$4,-$C$4)),0,IF(AA29&gt;=AA30*(1+IF(AA30&gt;0,-$C$4,$C$4)),0,-1)),IF(Y27="-",IF(AA29&lt;AA31*(1+IF(AA31&gt;0,-$C$4,$C$4)),0,IF(AA29&lt;=AA30*(1+IF(AA30&gt;0,$C$4,-$C$4)),0,-1))))</f>
        <v>#VALUE!</v>
      </c>
      <c r="AA31" s="107" t="str">
        <f ca="1">_xll.DBRW('Value Tree TESTE'!A3,A10,A13,Y31,A20,A23,"PROD099 - Others","Cement Fix. Costs (LMU/t)","Value")</f>
        <v>RECALC_1_94_</v>
      </c>
      <c r="AB31" s="114" t="e">
        <f ca="1">IF(Y27="+",IF(AC29&gt;AC31*(1+IF(AC31&gt;0,$C$4,-$C$4)),0,IF(AC29&gt;=AC30*(1+IF(AC30&gt;0,-$C$4,$C$4)),0,-1)),IF(Y27="-",IF(AC29&lt;AC31*(1+IF(AC31&gt;0,-$C$4,$C$4)),0,IF(AC29&lt;=AC30*(1+IF(AC30&gt;0,$C$4,-$C$4)),0,-1))))</f>
        <v>#VALUE!</v>
      </c>
      <c r="AC31" s="108" t="str">
        <f ca="1">_xll.DBRW('Value Tree TESTE'!A3,A10,A14,Y31,A20,A23,"PROD099 - Others","Cement Fix. Costs (LMU/t)","Value")</f>
        <v>RECALC_1_167_</v>
      </c>
      <c r="AD31" s="117"/>
      <c r="AF31" s="113" t="s">
        <v>91</v>
      </c>
      <c r="AG31" s="114" t="e">
        <f ca="1">IF(AF27="+",IF(AH29&gt;AH31*(1+IF(AH31&gt;0,$C$4,-$C$4)),0,IF(AH29&gt;=AH30*(1+IF(AH30&gt;0,-$C$4,$C$4)),0,-1)),IF(AF27="-",IF(AH29&lt;AH31*(1+IF(AH31&gt;0,-$C$4,$C$4)),0,IF(AH29&lt;=AH30*(1+IF(AH30&gt;0,$C$4,-$C$4)),0,-1))))</f>
        <v>#VALUE!</v>
      </c>
      <c r="AH31" s="147" t="str">
        <f ca="1">_xll.DBRW('Value Tree TESTE'!A3,A10,A13,AF31,A20,A23,"PROD099 - Others","Raw Material (LMU/t)","Value")</f>
        <v>RECALC_1_152_</v>
      </c>
      <c r="AI31" s="114" t="e">
        <f ca="1">IF(AF27="+",IF(AJ29&gt;AJ31*(1+IF(AJ31&gt;0,$C$4,-$C$4)),0,IF(AJ29&gt;=AJ30*(1+IF(AJ30&gt;0,-$C$4,$C$4)),0,-1)),IF(AF27="-",IF(AJ29&lt;AJ31*(1+IF(AJ31&gt;0,-$C$4,$C$4)),0,IF(AJ29&lt;=AJ30*(1+IF(AJ30&gt;0,$C$4,-$C$4)),0,-1))))</f>
        <v>#VALUE!</v>
      </c>
      <c r="AJ31" s="116" t="str">
        <f ca="1">_xll.DBRW('Value Tree TESTE'!A3,A10,A14,AF31,A20,A23,"PROD099 - Others","Raw Material (LMU/t)","Value")</f>
        <v>RECALC_1_130_</v>
      </c>
      <c r="AK31" s="117"/>
      <c r="AM31" s="113" t="s">
        <v>91</v>
      </c>
      <c r="AN31" s="114" t="e">
        <f ca="1">IF(AM27="+",IF(AO29&gt;AO31*(1+IF(AO31&gt;0,$C$4,-$C$4)),0,IF(AO29&gt;=AO30*(1+IF(AO30&gt;0,-$C$4,$C$4)),0,-1)),IF(AM27="-",IF(AO29&lt;AO31*(1+IF(AO31&gt;0,-$C$4,$C$4)),0,IF(AO29&lt;=AO30*(1+IF(AO30&gt;0,$C$4,-$C$4)),0,-1))))</f>
        <v>#VALUE!</v>
      </c>
      <c r="AO31" s="107" t="str">
        <f ca="1">_xll.DBRW(A3,A10,A13,AM31,A20,A23,"PROD099 - Others","Power Cons. (kWh/t)","Value")</f>
        <v>RECALC_1_137_</v>
      </c>
      <c r="AP31" s="114" t="e">
        <f ca="1">IF(AM27="+",IF(AQ29&gt;AQ31*(1+IF(AQ31&gt;0,$C$4,-$C$4)),0,IF(AQ29&gt;=AQ30*(1+IF(AQ30&gt;0,-$C$4,$C$4)),0,-1)),IF(AM27="-",IF(AQ29&lt;AQ31*(1+IF(AQ31&gt;0,-$C$4,$C$4)),0,IF(AQ29&lt;=AQ30*(1+IF(AQ30&gt;0,$C$4,-$C$4)),0,-1))))</f>
        <v>#VALUE!</v>
      </c>
      <c r="AQ31" s="116" t="str">
        <f ca="1">_xll.DBRW(A3,A10,A14,AM31,A20,A23,"PROD099 - Others","Power Cons. (kWh/t)","Value")</f>
        <v>RECALC_1_160_</v>
      </c>
      <c r="AS31"/>
      <c r="AT31" s="148"/>
      <c r="AU31" s="148" t="e">
        <f ca="1">AG31</f>
        <v>#VALUE!</v>
      </c>
      <c r="AV31"/>
    </row>
    <row r="32" spans="1:48" ht="18" customHeight="1">
      <c r="A32" t="s">
        <v>18</v>
      </c>
      <c r="B32"/>
      <c r="I32" s="134"/>
      <c r="J32" s="145"/>
      <c r="K32" s="119"/>
      <c r="L32" s="120"/>
      <c r="M32" s="122"/>
      <c r="N32" s="120"/>
      <c r="O32" s="122"/>
      <c r="P32" s="117"/>
      <c r="Q32" s="95"/>
      <c r="R32" s="119"/>
      <c r="S32" s="123"/>
      <c r="T32" s="123"/>
      <c r="U32" s="123"/>
      <c r="V32" s="123"/>
      <c r="Y32" s="119"/>
      <c r="Z32" s="123"/>
      <c r="AA32" s="123"/>
      <c r="AB32" s="123"/>
      <c r="AC32" s="123"/>
      <c r="AD32" s="124"/>
      <c r="AF32" s="119"/>
      <c r="AG32" s="123"/>
      <c r="AH32" s="123"/>
      <c r="AI32" s="123"/>
      <c r="AJ32" s="123"/>
      <c r="AK32" s="124"/>
      <c r="AM32" s="119"/>
      <c r="AN32" s="123"/>
      <c r="AO32" s="123"/>
      <c r="AP32" s="123"/>
      <c r="AQ32" s="123"/>
      <c r="AS32"/>
      <c r="AT32"/>
      <c r="AU32"/>
      <c r="AV32"/>
    </row>
    <row r="33" spans="1:48" ht="18" customHeight="1">
      <c r="I33" s="134"/>
      <c r="J33" s="145"/>
      <c r="K33" s="89" t="s">
        <v>83</v>
      </c>
      <c r="L33" s="90"/>
      <c r="M33" s="90" t="s">
        <v>26</v>
      </c>
      <c r="N33" s="90"/>
      <c r="O33" s="91" t="s">
        <v>84</v>
      </c>
      <c r="P33" s="125"/>
      <c r="Q33" s="95"/>
      <c r="R33" s="89" t="s">
        <v>85</v>
      </c>
      <c r="S33" s="90"/>
      <c r="T33" s="90" t="s">
        <v>26</v>
      </c>
      <c r="U33" s="90"/>
      <c r="V33" s="91" t="s">
        <v>84</v>
      </c>
      <c r="W33" s="85"/>
      <c r="Y33" s="89" t="s">
        <v>85</v>
      </c>
      <c r="Z33" s="90"/>
      <c r="AA33" s="90" t="s">
        <v>26</v>
      </c>
      <c r="AB33" s="90"/>
      <c r="AC33" s="91" t="s">
        <v>84</v>
      </c>
      <c r="AD33" s="125"/>
      <c r="AF33" s="89" t="s">
        <v>85</v>
      </c>
      <c r="AG33" s="90"/>
      <c r="AH33" s="90" t="s">
        <v>26</v>
      </c>
      <c r="AI33" s="90"/>
      <c r="AJ33" s="91" t="s">
        <v>84</v>
      </c>
      <c r="AK33" s="125"/>
      <c r="AM33" s="89" t="s">
        <v>85</v>
      </c>
      <c r="AN33" s="90"/>
      <c r="AO33" s="90" t="s">
        <v>26</v>
      </c>
      <c r="AP33" s="90"/>
      <c r="AQ33" s="91" t="s">
        <v>84</v>
      </c>
      <c r="AS33"/>
      <c r="AT33"/>
      <c r="AU33"/>
      <c r="AV33"/>
    </row>
    <row r="34" spans="1:48" s="10" customFormat="1" ht="18" customHeight="1">
      <c r="C34" s="86"/>
      <c r="D34" s="83"/>
      <c r="E34" s="86"/>
      <c r="F34" s="86"/>
      <c r="G34" s="86"/>
      <c r="H34" s="86"/>
      <c r="I34" s="149"/>
      <c r="J34" s="145"/>
      <c r="K34" s="93"/>
      <c r="L34" s="381" t="s">
        <v>113</v>
      </c>
      <c r="M34" s="382"/>
      <c r="N34" s="382"/>
      <c r="O34" s="383"/>
      <c r="P34" s="126"/>
      <c r="Q34" s="95"/>
      <c r="R34" s="93"/>
      <c r="S34" s="384" t="s">
        <v>114</v>
      </c>
      <c r="T34" s="385"/>
      <c r="U34" s="385"/>
      <c r="V34" s="386"/>
      <c r="W34" s="94"/>
      <c r="Y34" s="93"/>
      <c r="Z34" s="387" t="s">
        <v>115</v>
      </c>
      <c r="AA34" s="388"/>
      <c r="AB34" s="388"/>
      <c r="AC34" s="389"/>
      <c r="AD34" s="126"/>
      <c r="AF34" s="93"/>
      <c r="AG34" s="384" t="s">
        <v>116</v>
      </c>
      <c r="AH34" s="385"/>
      <c r="AI34" s="385"/>
      <c r="AJ34" s="386"/>
      <c r="AK34" s="126"/>
      <c r="AM34" s="93"/>
      <c r="AN34" s="384" t="s">
        <v>117</v>
      </c>
      <c r="AO34" s="385"/>
      <c r="AP34" s="385"/>
      <c r="AQ34" s="386"/>
      <c r="AS34"/>
      <c r="AT34"/>
      <c r="AU34"/>
      <c r="AV34"/>
    </row>
    <row r="35" spans="1:48" s="10" customFormat="1" ht="18" customHeight="1" thickBot="1">
      <c r="A35" s="2" t="s">
        <v>19</v>
      </c>
      <c r="B35" s="2"/>
      <c r="C35" s="86"/>
      <c r="D35" s="83"/>
      <c r="E35" s="86"/>
      <c r="F35" s="86"/>
      <c r="G35" s="86"/>
      <c r="H35" s="86"/>
      <c r="I35" s="149"/>
      <c r="J35" s="150"/>
      <c r="K35" s="93" t="str">
        <f ca="1">A17</f>
        <v>RECALC_0_5_</v>
      </c>
      <c r="L35" s="374" t="e">
        <f ca="1">L37</f>
        <v>#VALUE!</v>
      </c>
      <c r="M35" s="96" t="e">
        <f ca="1">_xll.DBRW(A5,A10,A13,K35,A20,A23,"Financial Results",Planilha3!B$19)+_xll.DBRW(A5,A10,A13,K35,A20,A23,"FX/Others",Planilha3!B$19)+_xll.DBRW(A5,A10,A13,K35,A20,A23,"Other",Planilha3!B$19)</f>
        <v>#VALUE!</v>
      </c>
      <c r="N35" s="374" t="e">
        <f ca="1">N37</f>
        <v>#VALUE!</v>
      </c>
      <c r="O35" s="97" t="e">
        <f ca="1">_xll.DBRW(A5,A10,A14,K35,A20,A23,"Financial Results",Planilha3!B$19)+_xll.DBRW(A5,A10,A14,K35,A20,A23,"FX/Others",Planilha3!B$19)+_xll.DBRW(A5,A10,A14,K35,A20,A23,"Other",Planilha3!B$19)</f>
        <v>#VALUE!</v>
      </c>
      <c r="P35" s="109"/>
      <c r="Q35" s="99"/>
      <c r="R35" s="93" t="str">
        <f ca="1">A17</f>
        <v>RECALC_0_5_</v>
      </c>
      <c r="S35" s="374" t="e">
        <f ca="1">S37</f>
        <v>#VALUE!</v>
      </c>
      <c r="T35" s="96" t="str">
        <f ca="1">_xll.DBRW('Value Tree TESTE'!A3,A10,A13,R35,A20,A23,"PROD099 - Others","ZBB Total","Value")</f>
        <v>RECALC_1_235_</v>
      </c>
      <c r="U35" s="374">
        <f ca="1">U37</f>
        <v>-1</v>
      </c>
      <c r="V35" s="97" t="str">
        <f ca="1">_xll.DBRW('Value Tree TESTE'!A3,A10,A14,R35,A20,A23,"PROD099 - Others","ZBB Total","Value")</f>
        <v>RECALC_1_204_</v>
      </c>
      <c r="W35" s="98"/>
      <c r="Y35" s="93" t="str">
        <f ca="1">A17</f>
        <v>RECALC_0_5_</v>
      </c>
      <c r="Z35" s="374" t="e">
        <f ca="1">Z37</f>
        <v>#VALUE!</v>
      </c>
      <c r="AA35" s="151" t="e">
        <f ca="1">(T29+T35)/T5</f>
        <v>#VALUE!</v>
      </c>
      <c r="AB35" s="374" t="e">
        <f ca="1">AB37</f>
        <v>#VALUE!</v>
      </c>
      <c r="AC35" s="152" t="e">
        <f ca="1">(V29+V35)/V5</f>
        <v>#VALUE!</v>
      </c>
      <c r="AD35" s="153"/>
      <c r="AE35" s="101"/>
      <c r="AF35" s="93" t="str">
        <f ca="1">A17</f>
        <v>RECALC_0_5_</v>
      </c>
      <c r="AG35" s="374" t="e">
        <f ca="1">AG37</f>
        <v>#VALUE!</v>
      </c>
      <c r="AH35" s="96" t="str">
        <f ca="1">_xll.DBRW(A3,A10,A13,AF35,A20,A23,"PROD099 - Others","Other Variable (LMU/t)","Value")</f>
        <v>RECALC_1_339_</v>
      </c>
      <c r="AI35" s="374" t="e">
        <f ca="1">AI37</f>
        <v>#VALUE!</v>
      </c>
      <c r="AJ35" s="97" t="str">
        <f ca="1">_xll.DBRW(A3,A10,A14,AF35,A20,A23,"PROD099 - Others","Other Variable (LMU/t)","Value")</f>
        <v>RECALC_1_318_</v>
      </c>
      <c r="AK35" s="109"/>
      <c r="AL35" s="154"/>
      <c r="AM35" s="155" t="str">
        <f ca="1">A17</f>
        <v>RECALC_0_5_</v>
      </c>
      <c r="AN35" s="374" t="e">
        <f ca="1">AN37</f>
        <v>#VALUE!</v>
      </c>
      <c r="AO35" s="103" t="str">
        <f ca="1">_xll.DBRW(A3,A10,A13,AM35,A20,A23,"PROD099 - Others","Clinker Factor (%)","Value")</f>
        <v>RECALC_1_429_</v>
      </c>
      <c r="AP35" s="376" t="e">
        <f ca="1">AP37</f>
        <v>#REF!</v>
      </c>
      <c r="AQ35" s="104" t="str">
        <f ca="1">_xll.DBRW(A3,A10,A14,AM35,A20,A23,"PROD099 - Others","Clinker Factor (%)","Value")</f>
        <v>RECALC_1_281_</v>
      </c>
      <c r="AS35">
        <v>75</v>
      </c>
      <c r="AT35" s="104" t="e">
        <v>#REF!</v>
      </c>
    </row>
    <row r="36" spans="1:48" s="10" customFormat="1" ht="18" customHeight="1">
      <c r="A36" t="s">
        <v>118</v>
      </c>
      <c r="B36"/>
      <c r="C36" s="86"/>
      <c r="D36" s="83"/>
      <c r="E36" s="86"/>
      <c r="F36" s="86"/>
      <c r="G36" s="86"/>
      <c r="H36" s="86"/>
      <c r="I36" s="86"/>
      <c r="J36" s="145"/>
      <c r="K36" s="93" t="str">
        <f ca="1">A18</f>
        <v>RECALC_0_4_</v>
      </c>
      <c r="L36" s="375" t="e">
        <f ca="1">L37</f>
        <v>#VALUE!</v>
      </c>
      <c r="M36" s="107" t="e">
        <f ca="1">_xll.DBRW(A5,A10,A13,K36,A20,A23,"Financial Results",Planilha3!B$19)+_xll.DBRW(A5,A10,A13,K36,A20,A23,"FX/Others",Planilha3!B$19)+_xll.DBRW(A5,A10,A13,K36,A20,A23,"Other",Planilha3!B$19)</f>
        <v>#VALUE!</v>
      </c>
      <c r="N36" s="375" t="e">
        <f ca="1">N37</f>
        <v>#VALUE!</v>
      </c>
      <c r="O36" s="108" t="e">
        <f ca="1">_xll.DBRW(A5,A10,A14,K36,A20,A23,"Financial Results",Planilha3!B$19)+_xll.DBRW(A5,A10,A14,K36,A20,A23,"FX/Others",Planilha3!B$19)+_xll.DBRW(A5,A10,A14,K36,A20,A23,"Other",Planilha3!B$19)</f>
        <v>#VALUE!</v>
      </c>
      <c r="P36" s="98"/>
      <c r="Q36" s="95"/>
      <c r="R36" s="93" t="str">
        <f ca="1">A18</f>
        <v>RECALC_0_4_</v>
      </c>
      <c r="S36" s="375" t="e">
        <f ca="1">S37</f>
        <v>#VALUE!</v>
      </c>
      <c r="T36" s="107" t="str">
        <f ca="1">_xll.DBRW('Value Tree TESTE'!A3,A10,A13,R36,A20,A23,"PROD099 - Others","ZBB Total","Value")</f>
        <v>RECALC_1_239_</v>
      </c>
      <c r="U36" s="375">
        <f ca="1">U37</f>
        <v>-1</v>
      </c>
      <c r="V36" s="108" t="str">
        <f ca="1">_xll.DBRW('Value Tree TESTE'!A3,A10,A14,R36,A20,A23,"PROD099 - Others","ZBB Total","Value")</f>
        <v>RECALC_1_194_</v>
      </c>
      <c r="W36" s="98"/>
      <c r="Y36" s="93" t="str">
        <f ca="1">A18</f>
        <v>RECALC_0_4_</v>
      </c>
      <c r="Z36" s="375" t="e">
        <f ca="1">Z37</f>
        <v>#VALUE!</v>
      </c>
      <c r="AA36" s="156" t="e">
        <f ca="1">(T30+T36)/T6</f>
        <v>#VALUE!</v>
      </c>
      <c r="AB36" s="375" t="e">
        <f ca="1">AB37</f>
        <v>#VALUE!</v>
      </c>
      <c r="AC36" s="157" t="e">
        <f ca="1">(V30+V36)/V6</f>
        <v>#VALUE!</v>
      </c>
      <c r="AD36" s="158"/>
      <c r="AF36" s="93" t="str">
        <f ca="1">A18</f>
        <v>RECALC_0_4_</v>
      </c>
      <c r="AG36" s="375" t="e">
        <f ca="1">AG37</f>
        <v>#VALUE!</v>
      </c>
      <c r="AH36" s="107" t="str">
        <f ca="1">_xll.DBRW(A3,A10,A13,AF36,A20,A23,"PROD099 - Others","Other Variable (LMU/t)","Value")</f>
        <v>RECALC_1_330_</v>
      </c>
      <c r="AI36" s="375" t="e">
        <f ca="1">AI37</f>
        <v>#VALUE!</v>
      </c>
      <c r="AJ36" s="108" t="str">
        <f ca="1">_xll.DBRW(A3,A10,A14,AF36,A20,A23,"PROD099 - Others","Other Variable (LMU/t)","Value")</f>
        <v>RECALC_1_451_</v>
      </c>
      <c r="AK36" s="98"/>
      <c r="AM36" s="93" t="str">
        <f ca="1">A18</f>
        <v>RECALC_0_4_</v>
      </c>
      <c r="AN36" s="375" t="e">
        <f ca="1">AN37</f>
        <v>#VALUE!</v>
      </c>
      <c r="AO36" s="111" t="str">
        <f ca="1">_xll.DBRW(A3,A10,A13,AM36,A20,A23,"PROD099 - Others","Clinker Factor (%)","Value")</f>
        <v>RECALC_1_405_</v>
      </c>
      <c r="AP36" s="377" t="e">
        <f ca="1">AP37</f>
        <v>#REF!</v>
      </c>
      <c r="AQ36" s="112" t="str">
        <f ca="1">_xll.DBRW(A3,A10,A14,AM36,A20,A23,"PROD099 - Others","Clinker Factor (%)","Value")</f>
        <v>RECALC_1_255_</v>
      </c>
      <c r="AS36" s="10">
        <v>75</v>
      </c>
      <c r="AT36" s="112" t="e">
        <v>#REF!</v>
      </c>
    </row>
    <row r="37" spans="1:48" ht="18" customHeight="1" outlineLevel="1">
      <c r="J37" s="159"/>
      <c r="K37" s="113" t="s">
        <v>91</v>
      </c>
      <c r="L37" s="114" t="e">
        <f ca="1">IF(K33="+",IF(M35&gt;M37*(1+IF(M37&gt;0,$C$4,-$C$4)),0,IF(M35&gt;=M36*(1+IF(M36&gt;0,-$C$4,$C$4)),0,-1)),IF(K33="-",IF(M35&lt;M37*(1+IF(M37&gt;0,-$C$4,$C$4)),0,IF(M35&lt;=M36*(1+IF(M36&gt;0,$C$4,-$C$4)),0,-1))))</f>
        <v>#VALUE!</v>
      </c>
      <c r="M37" s="115" t="e">
        <f ca="1">_xll.DBRW(A5,A10,A13,K37,A20,A23,"Financial Results",Planilha3!B$19)+_xll.DBRW(A5,A10,A13,K37,A20,A23,"FX/Others",Planilha3!B$19)+_xll.DBRW(A5,A10,A13,K37,A20,A23,"Other",Planilha3!B$19)</f>
        <v>#VALUE!</v>
      </c>
      <c r="N37" s="114" t="e">
        <f ca="1">IF(K33="+",IF(O35&gt;O37*(1+IF(O37&gt;0,$C$4,-$C$4)),0,IF(O35&gt;=O36*(1+IF(O36&gt;0,-$C$4,$C$4)),0,-1)),IF(K33="-",IF(O35&lt;O37*(1+IF(O37&gt;0,-$C$4,$C$4)),0,IF(O35&lt;=O36*(1+IF(O36&gt;0,$C$4,-$C$4)),0,-1))))</f>
        <v>#VALUE!</v>
      </c>
      <c r="O37" s="115" t="e">
        <f ca="1">_xll.DBRW(A5,A10,A14,K37,A20,A23,"Financial Results",Planilha3!B$19)+_xll.DBRW(A5,A10,A14,K37,A20,A23,"FX/Others",Planilha3!B$19)+_xll.DBRW(A5,A10,A14,K37,A20,A23,"Other",Planilha3!B$19)</f>
        <v>#VALUE!</v>
      </c>
      <c r="R37" s="113" t="s">
        <v>91</v>
      </c>
      <c r="S37" s="114" t="e">
        <f ca="1">IF(R33="+",IF(T35&gt;T37*(1+IF(T37&gt;0,$C$4,-$C$4)),0,IF(T35&gt;=T36*(1+IF(T36&gt;0,-$C$4,$C$4)),0,-1)),IF(R33="-",IF(T35&lt;T37*(1+IF(T37&gt;0,-$C$4,$C$4)),0,IF(T35&lt;=T36*(1+IF(T36&gt;0,$C$4,-$C$4)),0,-1))))</f>
        <v>#VALUE!</v>
      </c>
      <c r="T37" s="107" t="str">
        <f ca="1">_xll.DBRW('Value Tree TESTE'!A3,A10,A13,R37,A20,A23,"PROD099 - Others","ZBB Total","Value")</f>
        <v>RECALC_1_108_</v>
      </c>
      <c r="U37" s="143">
        <f ca="1">IF(R33="+",IF(V35&gt;V37,1,IF(V35&gt;=V36,0,-1)),IF(R33="-",IF(V35&lt;V37,1,IF(V35&lt;=V36,0,-1))))</f>
        <v>-1</v>
      </c>
      <c r="V37" s="116" t="str">
        <f ca="1">_xll.DBRW('Value Tree TESTE'!A3,A10,A14,R37,A20,A23,"PROD099 - Others","ZBB Total","Value")</f>
        <v>RECALC_1_124_</v>
      </c>
      <c r="W37" s="87"/>
      <c r="Y37" s="113" t="s">
        <v>91</v>
      </c>
      <c r="Z37" s="143" t="e">
        <f ca="1">IF(Y33="+",IF(AA35&gt;AA37,1,IF(AA35&gt;=AA36,0,-1)),IF(Y33="-",IF(AA35&lt;AA37,1,IF(AA35&lt;=AA36,0,-1))))</f>
        <v>#VALUE!</v>
      </c>
      <c r="AA37" s="160" t="e">
        <f ca="1">(T30+T36)/T7</f>
        <v>#VALUE!</v>
      </c>
      <c r="AB37" s="143" t="e">
        <f ca="1">IF(Y33="+",IF(AC35&gt;AC37,1,IF(AC35&gt;=AC36,0,-1)),IF(Y33="-",IF(AC35&lt;AC37,1,IF(AC35&lt;=AC36,0,-1))))</f>
        <v>#VALUE!</v>
      </c>
      <c r="AC37" s="161" t="e">
        <f ca="1">(V30+V36)/V7</f>
        <v>#VALUE!</v>
      </c>
      <c r="AD37" s="162"/>
      <c r="AF37" s="113" t="s">
        <v>91</v>
      </c>
      <c r="AG37" s="114" t="e">
        <f ca="1">IF(AF33="+",IF(AH35&gt;AH37*(1+IF(AH37&gt;0,$C$4,-$C$4)),0,IF(AH35&gt;=AH36*(1+IF(AH36&gt;0,-$C$4,$C$4)),0,-1)),IF(AF33="-",IF(AH35&lt;AH37*(1+IF(AH37&gt;0,-$C$4,$C$4)),0,IF(AH35&lt;=AH36*(1+IF(AH36&gt;0,$C$4,-$C$4)),0,-1))))</f>
        <v>#VALUE!</v>
      </c>
      <c r="AH37" s="115" t="str">
        <f ca="1">_xll.DBRW(A3,A10,A13,AF37,A20,A23,"PROD099 - Others","Other Variable (LMU/t)","Value")</f>
        <v>RECALC_1_114_</v>
      </c>
      <c r="AI37" s="114" t="e">
        <f ca="1">IF(AF33="+",IF(AJ35&gt;AJ37*(1+IF(AJ37&gt;0,$C$4,-$C$4)),0,IF(AJ35&gt;=AJ36*(1+IF(AJ36&gt;0,-$C$4,$C$4)),0,-1)),IF(AF33="-",IF(AJ35&lt;AJ37*(1+IF(AJ37&gt;0,-$C$4,$C$4)),0,IF(AJ35&lt;=AJ36*(1+IF(AJ36&gt;0,$C$4,-$C$4)),0,-1))))</f>
        <v>#VALUE!</v>
      </c>
      <c r="AJ37" s="116" t="str">
        <f ca="1">_xll.DBRW(A3,A10,A14,AF37,A20,A23,"PROD099 - Others","Other Variable (LMU/t)","Value")</f>
        <v>RECALC_1_159_</v>
      </c>
      <c r="AK37" s="87"/>
      <c r="AM37" s="113" t="s">
        <v>91</v>
      </c>
      <c r="AN37" s="114" t="e">
        <f ca="1">IF(AM33="+",IF(AO35&gt;AO37*(1+IF(AO37&gt;0,$C$4,-$C$4)),0,IF(AO35&gt;=AO36*(1+IF(AO36&gt;0,-$C$4,$C$4)),0,-1)),IF(AM33="-",IF(AO35&lt;AO37*(1+IF(AO37&gt;0,-$C$4,$C$4)),0,IF(AO35&lt;=AO36*(1+IF(AO36&gt;0,$C$4,-$C$4)),0,-1))))</f>
        <v>#VALUE!</v>
      </c>
      <c r="AO37" s="111" t="str">
        <f ca="1">_xll.DBRW(A3,A10,A13,AM37,A20,A23,"PROD099 - Others","Clinker Factor (%)","Value")</f>
        <v>RECALC_1_80_</v>
      </c>
      <c r="AP37" s="114" t="e">
        <f ca="1">IF(AM33="+",IF(AT35&gt;AQ37*(1+IF(AQ37&gt;0,$C$4,-$C$4)),0,IF(AT35&gt;=AT36*(1+IF(AT36&gt;0,-$C$4,$C$4)),0,-1)),IF(AM33="-",IF(AT35&lt;AQ37*(1+IF(AQ37&gt;0,-$C$4,$C$4)),0,IF(AT35&lt;=AT36*(1+IF(AT36&gt;0,$C$4,-$C$4)),0,-1))))</f>
        <v>#REF!</v>
      </c>
      <c r="AQ37" s="118" t="str">
        <f ca="1">_xll.DBRW(A3,A10,A14,AM37,A20,A23,"PROD099 - Others","Clinker Factor (%)","Value")</f>
        <v>RECALC_1_77_</v>
      </c>
    </row>
    <row r="38" spans="1:48" ht="18" customHeight="1">
      <c r="A38" s="2" t="s">
        <v>74</v>
      </c>
      <c r="B38" s="2"/>
      <c r="K38" s="119"/>
      <c r="L38" s="90"/>
      <c r="M38" s="122"/>
      <c r="N38" s="90"/>
      <c r="O38" s="122"/>
      <c r="R38" s="119"/>
      <c r="S38" s="123"/>
      <c r="T38" s="123"/>
      <c r="U38" s="123"/>
      <c r="V38" s="123"/>
      <c r="Y38" s="119"/>
      <c r="Z38" s="123"/>
      <c r="AA38" s="123"/>
      <c r="AB38" s="123"/>
      <c r="AC38" s="123"/>
      <c r="AF38" s="119"/>
      <c r="AG38" s="123"/>
      <c r="AH38" s="123"/>
      <c r="AI38" s="123"/>
      <c r="AJ38" s="123"/>
      <c r="AM38" s="119"/>
      <c r="AN38" s="123"/>
      <c r="AO38" s="123"/>
      <c r="AP38" s="123"/>
      <c r="AQ38" s="123"/>
    </row>
    <row r="39" spans="1:48" ht="18" customHeight="1">
      <c r="A39" t="s">
        <v>119</v>
      </c>
      <c r="B39"/>
      <c r="F39" s="83"/>
      <c r="AA39" s="85"/>
      <c r="AC39" s="85"/>
      <c r="AD39" s="85"/>
    </row>
    <row r="41" spans="1:48" ht="18" customHeight="1">
      <c r="F41" s="83"/>
    </row>
    <row r="42" spans="1:48" ht="18" customHeight="1">
      <c r="D42" s="83" t="s">
        <v>83</v>
      </c>
      <c r="F42" s="86" t="s">
        <v>120</v>
      </c>
    </row>
    <row r="43" spans="1:48" ht="18" customHeight="1">
      <c r="D43" s="83" t="s">
        <v>85</v>
      </c>
      <c r="F43" s="86" t="s">
        <v>121</v>
      </c>
    </row>
    <row r="45" spans="1:48" ht="18" customHeight="1">
      <c r="C45" s="131"/>
      <c r="E45" s="378" t="s">
        <v>122</v>
      </c>
      <c r="F45" s="379"/>
      <c r="G45" s="379" t="s">
        <v>84</v>
      </c>
      <c r="H45" s="380"/>
      <c r="I45" s="163"/>
    </row>
    <row r="46" spans="1:48" ht="18" customHeight="1">
      <c r="C46" s="131"/>
      <c r="D46" s="83" t="s">
        <v>34</v>
      </c>
      <c r="E46" s="164"/>
      <c r="F46" s="165" t="s">
        <v>123</v>
      </c>
      <c r="G46" s="166"/>
      <c r="H46" s="167" t="s">
        <v>124</v>
      </c>
      <c r="I46" s="168"/>
    </row>
    <row r="47" spans="1:48" ht="18" customHeight="1">
      <c r="C47" s="131"/>
      <c r="D47" s="83" t="s">
        <v>33</v>
      </c>
      <c r="E47" s="169"/>
      <c r="F47" s="170" t="s">
        <v>125</v>
      </c>
      <c r="G47" s="171"/>
      <c r="H47" s="172" t="s">
        <v>126</v>
      </c>
      <c r="I47" s="168"/>
    </row>
    <row r="48" spans="1:48" ht="18" customHeight="1">
      <c r="C48" s="131"/>
      <c r="E48" s="86"/>
      <c r="F48" s="86"/>
      <c r="G48" s="86"/>
      <c r="H48" s="86"/>
      <c r="I48" s="86"/>
      <c r="V48" s="10">
        <f>CA48+CA56</f>
        <v>0</v>
      </c>
    </row>
    <row r="49" spans="1:23" ht="18" customHeight="1">
      <c r="C49" s="173"/>
      <c r="D49" s="174"/>
      <c r="E49" s="175" t="s">
        <v>127</v>
      </c>
      <c r="F49" s="175"/>
      <c r="G49" s="175"/>
      <c r="H49" s="175"/>
      <c r="I49" s="176"/>
      <c r="J49" s="175"/>
    </row>
    <row r="50" spans="1:23" ht="18" customHeight="1">
      <c r="C50" s="84">
        <v>0.02</v>
      </c>
      <c r="D50" s="177"/>
      <c r="E50" s="178" t="s">
        <v>128</v>
      </c>
      <c r="F50" s="179"/>
      <c r="G50" s="179"/>
      <c r="H50" s="86"/>
      <c r="I50" s="86"/>
    </row>
    <row r="51" spans="1:23" ht="18" customHeight="1">
      <c r="C51" s="173"/>
      <c r="D51" s="180"/>
      <c r="E51" s="175" t="s">
        <v>129</v>
      </c>
      <c r="F51" s="175"/>
      <c r="G51" s="175"/>
      <c r="H51" s="175"/>
      <c r="I51" s="176"/>
      <c r="J51" s="175"/>
    </row>
    <row r="53" spans="1:23" ht="18" customHeight="1">
      <c r="H53" s="84">
        <v>102</v>
      </c>
      <c r="J53" s="85">
        <v>-98</v>
      </c>
    </row>
    <row r="54" spans="1:23" ht="18" customHeight="1">
      <c r="H54" s="84">
        <v>100</v>
      </c>
      <c r="J54" s="85">
        <v>-100</v>
      </c>
    </row>
    <row r="55" spans="1:23" ht="18" customHeight="1">
      <c r="H55" s="84">
        <v>98</v>
      </c>
      <c r="J55" s="85">
        <v>-102</v>
      </c>
      <c r="W55" s="10">
        <f>CA56</f>
        <v>0</v>
      </c>
    </row>
    <row r="56" spans="1:23" ht="18" customHeight="1">
      <c r="V56" s="10">
        <f>CA48+CA56</f>
        <v>0</v>
      </c>
    </row>
    <row r="57" spans="1:23" ht="18" customHeight="1">
      <c r="F57" s="84" t="s">
        <v>130</v>
      </c>
    </row>
    <row r="58" spans="1:23" ht="18" customHeight="1">
      <c r="F58" s="181" t="s">
        <v>131</v>
      </c>
    </row>
    <row r="59" spans="1:23" ht="18" customHeight="1">
      <c r="F59" s="84" t="s">
        <v>132</v>
      </c>
    </row>
    <row r="60" spans="1:23" ht="18" customHeight="1">
      <c r="F60" s="181" t="s">
        <v>133</v>
      </c>
    </row>
    <row r="61" spans="1:23" ht="12.6" customHeight="1"/>
    <row r="62" spans="1:23" ht="18" customHeight="1">
      <c r="A62" s="2" t="s">
        <v>134</v>
      </c>
      <c r="B62" s="2"/>
    </row>
    <row r="63" spans="1:23" ht="18" customHeight="1">
      <c r="A63" t="s">
        <v>118</v>
      </c>
      <c r="B63"/>
    </row>
  </sheetData>
  <dataConsolidate/>
  <mergeCells count="94">
    <mergeCell ref="B5:B6"/>
    <mergeCell ref="L5:L6"/>
    <mergeCell ref="N5:N6"/>
    <mergeCell ref="S5:S6"/>
    <mergeCell ref="U5:U6"/>
    <mergeCell ref="Z5:Z6"/>
    <mergeCell ref="L4:O4"/>
    <mergeCell ref="S4:V4"/>
    <mergeCell ref="Z4:AC4"/>
    <mergeCell ref="AG4:AJ4"/>
    <mergeCell ref="AN4:AQ4"/>
    <mergeCell ref="AB5:AB6"/>
    <mergeCell ref="AG5:AG6"/>
    <mergeCell ref="AI5:AI6"/>
    <mergeCell ref="AN5:AN6"/>
    <mergeCell ref="AP5:AP6"/>
    <mergeCell ref="AN10:AQ10"/>
    <mergeCell ref="E11:E12"/>
    <mergeCell ref="G11:G12"/>
    <mergeCell ref="L11:L12"/>
    <mergeCell ref="N11:N12"/>
    <mergeCell ref="S11:S12"/>
    <mergeCell ref="U11:U12"/>
    <mergeCell ref="Z11:Z12"/>
    <mergeCell ref="AB11:AB12"/>
    <mergeCell ref="AG11:AG12"/>
    <mergeCell ref="L10:O10"/>
    <mergeCell ref="S10:V10"/>
    <mergeCell ref="Z10:AC10"/>
    <mergeCell ref="AG10:AJ10"/>
    <mergeCell ref="AI11:AI12"/>
    <mergeCell ref="AN11:AN12"/>
    <mergeCell ref="AP11:AP12"/>
    <mergeCell ref="E16:H16"/>
    <mergeCell ref="L16:O16"/>
    <mergeCell ref="AG16:AJ16"/>
    <mergeCell ref="AN16:AQ16"/>
    <mergeCell ref="AN17:AN18"/>
    <mergeCell ref="AP17:AP18"/>
    <mergeCell ref="E22:H22"/>
    <mergeCell ref="L22:O22"/>
    <mergeCell ref="S22:V22"/>
    <mergeCell ref="Z22:AC22"/>
    <mergeCell ref="AG22:AJ22"/>
    <mergeCell ref="AN22:AQ22"/>
    <mergeCell ref="E17:E18"/>
    <mergeCell ref="G17:G18"/>
    <mergeCell ref="L17:L18"/>
    <mergeCell ref="N17:N18"/>
    <mergeCell ref="AG17:AG18"/>
    <mergeCell ref="AI17:AI18"/>
    <mergeCell ref="AP23:AP24"/>
    <mergeCell ref="E23:E24"/>
    <mergeCell ref="G23:G24"/>
    <mergeCell ref="L23:L24"/>
    <mergeCell ref="N23:N24"/>
    <mergeCell ref="S23:S24"/>
    <mergeCell ref="U23:U24"/>
    <mergeCell ref="Z23:Z24"/>
    <mergeCell ref="AB23:AB24"/>
    <mergeCell ref="AG23:AG24"/>
    <mergeCell ref="AI23:AI24"/>
    <mergeCell ref="AN23:AN24"/>
    <mergeCell ref="L29:L30"/>
    <mergeCell ref="N29:N30"/>
    <mergeCell ref="S29:S30"/>
    <mergeCell ref="U29:U30"/>
    <mergeCell ref="Z29:Z30"/>
    <mergeCell ref="L28:O28"/>
    <mergeCell ref="S28:V28"/>
    <mergeCell ref="Z28:AC28"/>
    <mergeCell ref="AG28:AJ28"/>
    <mergeCell ref="AN28:AQ28"/>
    <mergeCell ref="L34:O34"/>
    <mergeCell ref="S34:V34"/>
    <mergeCell ref="Z34:AC34"/>
    <mergeCell ref="AG34:AJ34"/>
    <mergeCell ref="AN34:AQ34"/>
    <mergeCell ref="AB29:AB30"/>
    <mergeCell ref="AG29:AG30"/>
    <mergeCell ref="AI29:AI30"/>
    <mergeCell ref="AN29:AN30"/>
    <mergeCell ref="AP29:AP30"/>
    <mergeCell ref="AG35:AG36"/>
    <mergeCell ref="AI35:AI36"/>
    <mergeCell ref="AN35:AN36"/>
    <mergeCell ref="AP35:AP36"/>
    <mergeCell ref="E45:H45"/>
    <mergeCell ref="L35:L36"/>
    <mergeCell ref="N35:N36"/>
    <mergeCell ref="S35:S36"/>
    <mergeCell ref="U35:U36"/>
    <mergeCell ref="Z35:Z36"/>
    <mergeCell ref="AB35:AB36"/>
  </mergeCells>
  <conditionalFormatting sqref="B5">
    <cfRule type="expression" dxfId="188" priority="1">
      <formula>B7=0</formula>
    </cfRule>
    <cfRule type="expression" dxfId="187" priority="2">
      <formula>B7=-1</formula>
    </cfRule>
    <cfRule type="expression" dxfId="186" priority="3">
      <formula>B7=1</formula>
    </cfRule>
  </conditionalFormatting>
  <conditionalFormatting sqref="E11">
    <cfRule type="expression" dxfId="185" priority="61">
      <formula>E13=0</formula>
    </cfRule>
    <cfRule type="expression" dxfId="184" priority="62">
      <formula>E13=-1</formula>
    </cfRule>
    <cfRule type="expression" dxfId="183" priority="63">
      <formula>E13=1</formula>
    </cfRule>
  </conditionalFormatting>
  <conditionalFormatting sqref="E17">
    <cfRule type="expression" dxfId="182" priority="58">
      <formula>E19=0</formula>
    </cfRule>
    <cfRule type="expression" dxfId="181" priority="59">
      <formula>E19=-1</formula>
    </cfRule>
    <cfRule type="expression" dxfId="180" priority="60">
      <formula>E19=1</formula>
    </cfRule>
  </conditionalFormatting>
  <conditionalFormatting sqref="E23">
    <cfRule type="expression" dxfId="179" priority="31">
      <formula>E25=0</formula>
    </cfRule>
    <cfRule type="expression" dxfId="178" priority="32">
      <formula>E25=-1</formula>
    </cfRule>
    <cfRule type="expression" dxfId="177" priority="33">
      <formula>E25=1</formula>
    </cfRule>
  </conditionalFormatting>
  <conditionalFormatting sqref="G11">
    <cfRule type="expression" dxfId="176" priority="67">
      <formula>G13=0</formula>
    </cfRule>
    <cfRule type="expression" dxfId="175" priority="68">
      <formula>G13=-1</formula>
    </cfRule>
    <cfRule type="expression" dxfId="174" priority="69">
      <formula>G13=1</formula>
    </cfRule>
  </conditionalFormatting>
  <conditionalFormatting sqref="G17">
    <cfRule type="expression" dxfId="173" priority="64">
      <formula>G19=0</formula>
    </cfRule>
    <cfRule type="expression" dxfId="172" priority="65">
      <formula>G19=-1</formula>
    </cfRule>
    <cfRule type="expression" dxfId="171" priority="66">
      <formula>G19=1</formula>
    </cfRule>
  </conditionalFormatting>
  <conditionalFormatting sqref="G23">
    <cfRule type="expression" dxfId="170" priority="34">
      <formula>G25=0</formula>
    </cfRule>
    <cfRule type="expression" dxfId="169" priority="35">
      <formula>G25=-1</formula>
    </cfRule>
    <cfRule type="expression" dxfId="168" priority="36">
      <formula>G25=1</formula>
    </cfRule>
  </conditionalFormatting>
  <conditionalFormatting sqref="L5">
    <cfRule type="expression" dxfId="167" priority="79">
      <formula>L7=0</formula>
    </cfRule>
    <cfRule type="expression" dxfId="166" priority="80">
      <formula>L7=-1</formula>
    </cfRule>
    <cfRule type="expression" dxfId="165" priority="81">
      <formula>L7=1</formula>
    </cfRule>
  </conditionalFormatting>
  <conditionalFormatting sqref="L11">
    <cfRule type="expression" dxfId="164" priority="19">
      <formula>L13=0</formula>
    </cfRule>
    <cfRule type="expression" dxfId="163" priority="20">
      <formula>L13=-1</formula>
    </cfRule>
    <cfRule type="expression" dxfId="162" priority="21">
      <formula>L13=1</formula>
    </cfRule>
  </conditionalFormatting>
  <conditionalFormatting sqref="L17">
    <cfRule type="expression" dxfId="161" priority="13">
      <formula>L19=0</formula>
    </cfRule>
    <cfRule type="expression" dxfId="160" priority="14">
      <formula>L19=-1</formula>
    </cfRule>
    <cfRule type="expression" dxfId="159" priority="15">
      <formula>L19=1</formula>
    </cfRule>
  </conditionalFormatting>
  <conditionalFormatting sqref="L23">
    <cfRule type="expression" dxfId="158" priority="76">
      <formula>L25=0</formula>
    </cfRule>
    <cfRule type="expression" dxfId="157" priority="77">
      <formula>L25=-1</formula>
    </cfRule>
    <cfRule type="expression" dxfId="156" priority="78">
      <formula>L25=1</formula>
    </cfRule>
  </conditionalFormatting>
  <conditionalFormatting sqref="L29">
    <cfRule type="expression" dxfId="155" priority="73">
      <formula>L31=0</formula>
    </cfRule>
    <cfRule type="expression" dxfId="154" priority="74">
      <formula>L31=-1</formula>
    </cfRule>
    <cfRule type="expression" dxfId="153" priority="75">
      <formula>L31=1</formula>
    </cfRule>
  </conditionalFormatting>
  <conditionalFormatting sqref="L35">
    <cfRule type="expression" dxfId="152" priority="70">
      <formula>L37=0</formula>
    </cfRule>
    <cfRule type="expression" dxfId="151" priority="71">
      <formula>L37=-1</formula>
    </cfRule>
    <cfRule type="expression" dxfId="150" priority="72">
      <formula>L37=1</formula>
    </cfRule>
  </conditionalFormatting>
  <conditionalFormatting sqref="N5">
    <cfRule type="expression" dxfId="149" priority="91">
      <formula>N7=0</formula>
    </cfRule>
    <cfRule type="expression" dxfId="148" priority="92">
      <formula>N7=-1</formula>
    </cfRule>
    <cfRule type="expression" dxfId="147" priority="93">
      <formula>N7=1</formula>
    </cfRule>
  </conditionalFormatting>
  <conditionalFormatting sqref="N11">
    <cfRule type="expression" dxfId="146" priority="22">
      <formula>N13=0</formula>
    </cfRule>
    <cfRule type="expression" dxfId="145" priority="23">
      <formula>N13=-1</formula>
    </cfRule>
    <cfRule type="expression" dxfId="144" priority="24">
      <formula>N13=1</formula>
    </cfRule>
  </conditionalFormatting>
  <conditionalFormatting sqref="N17">
    <cfRule type="expression" dxfId="143" priority="16">
      <formula>N19=0</formula>
    </cfRule>
    <cfRule type="expression" dxfId="142" priority="17">
      <formula>N19=-1</formula>
    </cfRule>
    <cfRule type="expression" dxfId="141" priority="18">
      <formula>N19=1</formula>
    </cfRule>
  </conditionalFormatting>
  <conditionalFormatting sqref="N23">
    <cfRule type="expression" dxfId="140" priority="88">
      <formula>N25=0</formula>
    </cfRule>
    <cfRule type="expression" dxfId="139" priority="89">
      <formula>N25=-1</formula>
    </cfRule>
    <cfRule type="expression" dxfId="138" priority="90">
      <formula>N25=1</formula>
    </cfRule>
  </conditionalFormatting>
  <conditionalFormatting sqref="N29">
    <cfRule type="expression" dxfId="137" priority="85">
      <formula>N31=0</formula>
    </cfRule>
    <cfRule type="expression" dxfId="136" priority="86">
      <formula>N31=-1</formula>
    </cfRule>
    <cfRule type="expression" dxfId="135" priority="87">
      <formula>N31=1</formula>
    </cfRule>
  </conditionalFormatting>
  <conditionalFormatting sqref="N35">
    <cfRule type="expression" dxfId="134" priority="82">
      <formula>N37=0</formula>
    </cfRule>
    <cfRule type="expression" dxfId="133" priority="83">
      <formula>N37=-1</formula>
    </cfRule>
    <cfRule type="expression" dxfId="132" priority="84">
      <formula>N37=1</formula>
    </cfRule>
  </conditionalFormatting>
  <conditionalFormatting sqref="S5">
    <cfRule type="expression" dxfId="131" priority="103">
      <formula>S7=0</formula>
    </cfRule>
    <cfRule type="expression" dxfId="130" priority="104">
      <formula>S7=-1</formula>
    </cfRule>
    <cfRule type="expression" dxfId="129" priority="105">
      <formula>S7=1</formula>
    </cfRule>
  </conditionalFormatting>
  <conditionalFormatting sqref="S11">
    <cfRule type="expression" dxfId="128" priority="25">
      <formula>S13=0</formula>
    </cfRule>
    <cfRule type="expression" dxfId="127" priority="26">
      <formula>S13=-1</formula>
    </cfRule>
    <cfRule type="expression" dxfId="126" priority="27">
      <formula>S13=1</formula>
    </cfRule>
  </conditionalFormatting>
  <conditionalFormatting sqref="S23">
    <cfRule type="expression" dxfId="125" priority="100">
      <formula>S25=0</formula>
    </cfRule>
    <cfRule type="expression" dxfId="124" priority="101">
      <formula>S25=-1</formula>
    </cfRule>
    <cfRule type="expression" dxfId="123" priority="102">
      <formula>S25=1</formula>
    </cfRule>
  </conditionalFormatting>
  <conditionalFormatting sqref="S29">
    <cfRule type="expression" dxfId="122" priority="97">
      <formula>S31=0</formula>
    </cfRule>
    <cfRule type="expression" dxfId="121" priority="98">
      <formula>S31=-1</formula>
    </cfRule>
    <cfRule type="expression" dxfId="120" priority="99">
      <formula>S31=1</formula>
    </cfRule>
  </conditionalFormatting>
  <conditionalFormatting sqref="S35">
    <cfRule type="expression" dxfId="119" priority="94">
      <formula>S37=0</formula>
    </cfRule>
    <cfRule type="expression" dxfId="118" priority="95">
      <formula>S37=-1</formula>
    </cfRule>
    <cfRule type="expression" dxfId="117" priority="96">
      <formula>S37=1</formula>
    </cfRule>
  </conditionalFormatting>
  <conditionalFormatting sqref="U5">
    <cfRule type="expression" dxfId="116" priority="115">
      <formula>U7=0</formula>
    </cfRule>
    <cfRule type="expression" dxfId="115" priority="116">
      <formula>U7=-1</formula>
    </cfRule>
    <cfRule type="expression" dxfId="114" priority="117">
      <formula>U7=1</formula>
    </cfRule>
  </conditionalFormatting>
  <conditionalFormatting sqref="U11">
    <cfRule type="expression" dxfId="113" priority="28">
      <formula>U13=0</formula>
    </cfRule>
    <cfRule type="expression" dxfId="112" priority="29">
      <formula>U13=-1</formula>
    </cfRule>
    <cfRule type="expression" dxfId="111" priority="30">
      <formula>U13=1</formula>
    </cfRule>
  </conditionalFormatting>
  <conditionalFormatting sqref="U23">
    <cfRule type="expression" dxfId="110" priority="112">
      <formula>U25=0</formula>
    </cfRule>
    <cfRule type="expression" dxfId="109" priority="113">
      <formula>U25=-1</formula>
    </cfRule>
    <cfRule type="expression" dxfId="108" priority="114">
      <formula>U25=1</formula>
    </cfRule>
  </conditionalFormatting>
  <conditionalFormatting sqref="U29">
    <cfRule type="expression" dxfId="107" priority="109">
      <formula>U31=0</formula>
    </cfRule>
    <cfRule type="expression" dxfId="106" priority="110">
      <formula>U31=-1</formula>
    </cfRule>
    <cfRule type="expression" dxfId="105" priority="111">
      <formula>U31=1</formula>
    </cfRule>
  </conditionalFormatting>
  <conditionalFormatting sqref="U35">
    <cfRule type="expression" dxfId="104" priority="106">
      <formula>U37=0</formula>
    </cfRule>
    <cfRule type="expression" dxfId="103" priority="107">
      <formula>U37=-1</formula>
    </cfRule>
    <cfRule type="expression" dxfId="102" priority="108">
      <formula>U37=1</formula>
    </cfRule>
  </conditionalFormatting>
  <conditionalFormatting sqref="Z5">
    <cfRule type="expression" dxfId="101" priority="127">
      <formula>Z7=0</formula>
    </cfRule>
    <cfRule type="expression" dxfId="100" priority="128">
      <formula>Z7=-1</formula>
    </cfRule>
    <cfRule type="expression" dxfId="99" priority="129">
      <formula>Z7=1</formula>
    </cfRule>
  </conditionalFormatting>
  <conditionalFormatting sqref="Z11">
    <cfRule type="expression" dxfId="98" priority="124">
      <formula>Z13=0</formula>
    </cfRule>
    <cfRule type="expression" dxfId="97" priority="125">
      <formula>Z13=-1</formula>
    </cfRule>
    <cfRule type="expression" dxfId="96" priority="126">
      <formula>Z13=1</formula>
    </cfRule>
  </conditionalFormatting>
  <conditionalFormatting sqref="Z23">
    <cfRule type="expression" dxfId="95" priority="121">
      <formula>Z25=0</formula>
    </cfRule>
    <cfRule type="expression" dxfId="94" priority="122">
      <formula>Z25=-1</formula>
    </cfRule>
    <cfRule type="expression" dxfId="93" priority="123">
      <formula>Z25=1</formula>
    </cfRule>
  </conditionalFormatting>
  <conditionalFormatting sqref="Z29">
    <cfRule type="expression" dxfId="92" priority="118">
      <formula>Z31=0</formula>
    </cfRule>
    <cfRule type="expression" dxfId="91" priority="119">
      <formula>Z31=-1</formula>
    </cfRule>
    <cfRule type="expression" dxfId="90" priority="120">
      <formula>Z31=1</formula>
    </cfRule>
  </conditionalFormatting>
  <conditionalFormatting sqref="Z35">
    <cfRule type="expression" dxfId="89" priority="10">
      <formula>Z37=0</formula>
    </cfRule>
    <cfRule type="expression" dxfId="88" priority="11">
      <formula>Z37=-1</formula>
    </cfRule>
    <cfRule type="expression" dxfId="87" priority="12">
      <formula>Z37=1</formula>
    </cfRule>
  </conditionalFormatting>
  <conditionalFormatting sqref="AB5">
    <cfRule type="expression" dxfId="86" priority="145">
      <formula>AB7=0</formula>
    </cfRule>
    <cfRule type="expression" dxfId="85" priority="146">
      <formula>AB7=-1</formula>
    </cfRule>
    <cfRule type="expression" dxfId="84" priority="147">
      <formula>AB7=1</formula>
    </cfRule>
  </conditionalFormatting>
  <conditionalFormatting sqref="AB11">
    <cfRule type="expression" dxfId="83" priority="142">
      <formula>AB13=0</formula>
    </cfRule>
    <cfRule type="expression" dxfId="82" priority="143">
      <formula>AB13=-1</formula>
    </cfRule>
    <cfRule type="expression" dxfId="81" priority="144">
      <formula>AB13=1</formula>
    </cfRule>
  </conditionalFormatting>
  <conditionalFormatting sqref="AB23">
    <cfRule type="expression" dxfId="80" priority="139">
      <formula>AB25=0</formula>
    </cfRule>
    <cfRule type="expression" dxfId="79" priority="140">
      <formula>AB25=-1</formula>
    </cfRule>
    <cfRule type="expression" dxfId="78" priority="141">
      <formula>AB25=1</formula>
    </cfRule>
  </conditionalFormatting>
  <conditionalFormatting sqref="AB29">
    <cfRule type="expression" dxfId="77" priority="49">
      <formula>AB31=0</formula>
    </cfRule>
    <cfRule type="expression" dxfId="76" priority="50">
      <formula>AB31=-1</formula>
    </cfRule>
    <cfRule type="expression" dxfId="75" priority="51">
      <formula>AB31=1</formula>
    </cfRule>
  </conditionalFormatting>
  <conditionalFormatting sqref="AB35">
    <cfRule type="expression" dxfId="74" priority="7">
      <formula>AB37=0</formula>
    </cfRule>
    <cfRule type="expression" dxfId="73" priority="8">
      <formula>AB37=-1</formula>
    </cfRule>
    <cfRule type="expression" dxfId="72" priority="9">
      <formula>AB37=1</formula>
    </cfRule>
  </conditionalFormatting>
  <conditionalFormatting sqref="AG5">
    <cfRule type="expression" dxfId="71" priority="136">
      <formula>AG7=0</formula>
    </cfRule>
    <cfRule type="expression" dxfId="70" priority="137">
      <formula>AG7=-1</formula>
    </cfRule>
    <cfRule type="expression" dxfId="69" priority="138">
      <formula>AG7=1</formula>
    </cfRule>
  </conditionalFormatting>
  <conditionalFormatting sqref="AG11">
    <cfRule type="expression" dxfId="68" priority="43">
      <formula>AG13=0</formula>
    </cfRule>
    <cfRule type="expression" dxfId="67" priority="44">
      <formula>AG13=-1</formula>
    </cfRule>
    <cfRule type="expression" dxfId="66" priority="45">
      <formula>AG13=1</formula>
    </cfRule>
  </conditionalFormatting>
  <conditionalFormatting sqref="AG17">
    <cfRule type="expression" dxfId="65" priority="37">
      <formula>AG19=0</formula>
    </cfRule>
    <cfRule type="expression" dxfId="64" priority="38">
      <formula>AG19=-1</formula>
    </cfRule>
    <cfRule type="expression" dxfId="63" priority="39">
      <formula>AG19=1</formula>
    </cfRule>
  </conditionalFormatting>
  <conditionalFormatting sqref="AG23">
    <cfRule type="expression" dxfId="62" priority="133">
      <formula>AG25=0</formula>
    </cfRule>
    <cfRule type="expression" dxfId="61" priority="134">
      <formula>AG25=-1</formula>
    </cfRule>
    <cfRule type="expression" dxfId="60" priority="135">
      <formula>AG25=1</formula>
    </cfRule>
  </conditionalFormatting>
  <conditionalFormatting sqref="AG29">
    <cfRule type="expression" dxfId="59" priority="52">
      <formula>AG31=0</formula>
    </cfRule>
    <cfRule type="expression" dxfId="58" priority="53">
      <formula>AG31=-1</formula>
    </cfRule>
    <cfRule type="expression" dxfId="57" priority="54">
      <formula>AG31=1</formula>
    </cfRule>
  </conditionalFormatting>
  <conditionalFormatting sqref="AG35">
    <cfRule type="expression" dxfId="56" priority="130">
      <formula>AG37=0</formula>
    </cfRule>
    <cfRule type="expression" dxfId="55" priority="131">
      <formula>AG37=-1</formula>
    </cfRule>
    <cfRule type="expression" dxfId="54" priority="132">
      <formula>AG37=1</formula>
    </cfRule>
  </conditionalFormatting>
  <conditionalFormatting sqref="AI5">
    <cfRule type="expression" dxfId="53" priority="157">
      <formula>AI7=0</formula>
    </cfRule>
    <cfRule type="expression" dxfId="52" priority="158">
      <formula>AI7=-1</formula>
    </cfRule>
    <cfRule type="expression" dxfId="51" priority="159">
      <formula>AI7=1</formula>
    </cfRule>
  </conditionalFormatting>
  <conditionalFormatting sqref="AI11">
    <cfRule type="expression" dxfId="50" priority="46">
      <formula>AI13=0</formula>
    </cfRule>
    <cfRule type="expression" dxfId="49" priority="47">
      <formula>AI13=-1</formula>
    </cfRule>
    <cfRule type="expression" dxfId="48" priority="48">
      <formula>AI13=1</formula>
    </cfRule>
  </conditionalFormatting>
  <conditionalFormatting sqref="AI17">
    <cfRule type="expression" dxfId="47" priority="40">
      <formula>AI19=0</formula>
    </cfRule>
    <cfRule type="expression" dxfId="46" priority="41">
      <formula>AI19=-1</formula>
    </cfRule>
    <cfRule type="expression" dxfId="45" priority="42">
      <formula>AI19=1</formula>
    </cfRule>
  </conditionalFormatting>
  <conditionalFormatting sqref="AI23">
    <cfRule type="expression" dxfId="44" priority="154">
      <formula>AI25=0</formula>
    </cfRule>
    <cfRule type="expression" dxfId="43" priority="155">
      <formula>AI25=-1</formula>
    </cfRule>
    <cfRule type="expression" dxfId="42" priority="156">
      <formula>AI25=1</formula>
    </cfRule>
  </conditionalFormatting>
  <conditionalFormatting sqref="AI29">
    <cfRule type="expression" dxfId="41" priority="151">
      <formula>AI31=0</formula>
    </cfRule>
    <cfRule type="expression" dxfId="40" priority="152">
      <formula>AI31=-1</formula>
    </cfRule>
    <cfRule type="expression" dxfId="39" priority="153">
      <formula>AI31=1</formula>
    </cfRule>
  </conditionalFormatting>
  <conditionalFormatting sqref="AI35">
    <cfRule type="expression" dxfId="38" priority="148">
      <formula>AI37=0</formula>
    </cfRule>
    <cfRule type="expression" dxfId="37" priority="149">
      <formula>AI37=-1</formula>
    </cfRule>
    <cfRule type="expression" dxfId="36" priority="150">
      <formula>AI37=1</formula>
    </cfRule>
  </conditionalFormatting>
  <conditionalFormatting sqref="AN5">
    <cfRule type="expression" dxfId="35" priority="172">
      <formula>AN7=0</formula>
    </cfRule>
    <cfRule type="expression" dxfId="34" priority="173">
      <formula>AN7=-1</formula>
    </cfRule>
    <cfRule type="expression" dxfId="33" priority="174">
      <formula>AN7=1</formula>
    </cfRule>
  </conditionalFormatting>
  <conditionalFormatting sqref="AN11">
    <cfRule type="expression" dxfId="32" priority="169">
      <formula>AN13=0</formula>
    </cfRule>
    <cfRule type="expression" dxfId="31" priority="170">
      <formula>AN13=-1</formula>
    </cfRule>
    <cfRule type="expression" dxfId="30" priority="171">
      <formula>AN13=1</formula>
    </cfRule>
  </conditionalFormatting>
  <conditionalFormatting sqref="AN17">
    <cfRule type="expression" dxfId="29" priority="55">
      <formula>AN19=0</formula>
    </cfRule>
    <cfRule type="expression" dxfId="28" priority="56">
      <formula>AN19=-1</formula>
    </cfRule>
    <cfRule type="expression" dxfId="27" priority="57">
      <formula>AN19=1</formula>
    </cfRule>
  </conditionalFormatting>
  <conditionalFormatting sqref="AN23">
    <cfRule type="expression" dxfId="26" priority="166">
      <formula>AN25=0</formula>
    </cfRule>
    <cfRule type="expression" dxfId="25" priority="167">
      <formula>AN25=-1</formula>
    </cfRule>
    <cfRule type="expression" dxfId="24" priority="168">
      <formula>AN25=1</formula>
    </cfRule>
  </conditionalFormatting>
  <conditionalFormatting sqref="AN29">
    <cfRule type="expression" dxfId="23" priority="163">
      <formula>AN31=0</formula>
    </cfRule>
    <cfRule type="expression" dxfId="22" priority="164">
      <formula>AN31=-1</formula>
    </cfRule>
    <cfRule type="expression" dxfId="21" priority="165">
      <formula>AN31=1</formula>
    </cfRule>
  </conditionalFormatting>
  <conditionalFormatting sqref="AN35">
    <cfRule type="expression" dxfId="20" priority="160">
      <formula>AN37=0</formula>
    </cfRule>
    <cfRule type="expression" dxfId="19" priority="161">
      <formula>AN37=-1</formula>
    </cfRule>
    <cfRule type="expression" dxfId="18" priority="162">
      <formula>AN37=1</formula>
    </cfRule>
  </conditionalFormatting>
  <conditionalFormatting sqref="AP5">
    <cfRule type="expression" dxfId="17" priority="187">
      <formula>AP7=0</formula>
    </cfRule>
    <cfRule type="expression" dxfId="16" priority="188">
      <formula>AP7=-1</formula>
    </cfRule>
    <cfRule type="expression" dxfId="15" priority="189">
      <formula>AP7=1</formula>
    </cfRule>
  </conditionalFormatting>
  <conditionalFormatting sqref="AP11">
    <cfRule type="expression" dxfId="14" priority="4">
      <formula>AP13=0</formula>
    </cfRule>
    <cfRule type="expression" dxfId="13" priority="5">
      <formula>AP13=-1</formula>
    </cfRule>
    <cfRule type="expression" dxfId="12" priority="6">
      <formula>AP13=1</formula>
    </cfRule>
  </conditionalFormatting>
  <conditionalFormatting sqref="AP17">
    <cfRule type="expression" dxfId="11" priority="184">
      <formula>AP19=0</formula>
    </cfRule>
    <cfRule type="expression" dxfId="10" priority="185">
      <formula>AP19=-1</formula>
    </cfRule>
    <cfRule type="expression" dxfId="9" priority="186">
      <formula>AP19=1</formula>
    </cfRule>
  </conditionalFormatting>
  <conditionalFormatting sqref="AP23">
    <cfRule type="expression" dxfId="8" priority="181">
      <formula>AP25=0</formula>
    </cfRule>
    <cfRule type="expression" dxfId="7" priority="182">
      <formula>AP25=-1</formula>
    </cfRule>
    <cfRule type="expression" dxfId="6" priority="183">
      <formula>AP25=1</formula>
    </cfRule>
  </conditionalFormatting>
  <conditionalFormatting sqref="AP29">
    <cfRule type="expression" dxfId="5" priority="178">
      <formula>AP31=0</formula>
    </cfRule>
    <cfRule type="expression" dxfId="4" priority="179">
      <formula>AP31=-1</formula>
    </cfRule>
    <cfRule type="expression" dxfId="3" priority="180">
      <formula>AP31=1</formula>
    </cfRule>
  </conditionalFormatting>
  <conditionalFormatting sqref="AP35">
    <cfRule type="expression" dxfId="2" priority="175">
      <formula>AP37=0</formula>
    </cfRule>
    <cfRule type="expression" dxfId="1" priority="176">
      <formula>AP37=-1</formula>
    </cfRule>
    <cfRule type="expression" dxfId="0" priority="177">
      <formula>AP37=1</formula>
    </cfRule>
  </conditionalFormatting>
  <dataValidations disablePrompts="1" count="1">
    <dataValidation type="list" allowBlank="1" showInputMessage="1" showErrorMessage="1" sqref="K3 D9 D15 K33 K27 K21 K15 K9 Y3 R3 R21 R27 R33 Y33 Y27 Y21 Y9 AF21 AF27 AF33 AM33 AM27 AM21 AM15 AM9 AM3 AF3 AF9 AF15 D21 R9" xr:uid="{B06B6916-6FCE-4E91-A1CE-8CA659188EF6}">
      <formula1>$D$42:$D$43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Footer>&amp;R_x000D_&amp;1#&amp;"Aptos"&amp;10&amp;K0000FF # Conteúdo interno</oddFooter>
  </headerFooter>
  <customProperties>
    <customPr name="_pios_id" r:id="rId2"/>
    <customPr name="EpmWorksheetKeyString_GUID" r:id="rId3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E524-F220-4E12-B1E7-2FD9922A6F88}">
  <dimension ref="A2:CJ62"/>
  <sheetViews>
    <sheetView tabSelected="1" topLeftCell="A5" workbookViewId="0">
      <selection activeCell="AJ19" activeCellId="2" sqref="AC19:AE19 AJ18:AL18 AJ19:AL19"/>
    </sheetView>
  </sheetViews>
  <sheetFormatPr defaultRowHeight="14.4"/>
  <cols>
    <col min="1" max="1" width="34.33203125" customWidth="1"/>
    <col min="2" max="100" width="2.21875" customWidth="1"/>
  </cols>
  <sheetData>
    <row r="2" spans="1:78">
      <c r="A2" s="2" t="s">
        <v>3</v>
      </c>
    </row>
    <row r="3" spans="1:78">
      <c r="A3" s="7" t="s">
        <v>4</v>
      </c>
    </row>
    <row r="4" spans="1:78">
      <c r="A4" s="7" t="s">
        <v>5</v>
      </c>
    </row>
    <row r="5" spans="1:78">
      <c r="A5" t="s">
        <v>6</v>
      </c>
      <c r="AC5" s="451" t="s">
        <v>196</v>
      </c>
      <c r="AD5" s="451"/>
      <c r="AE5" s="451"/>
    </row>
    <row r="6" spans="1:78">
      <c r="A6" t="s">
        <v>7</v>
      </c>
      <c r="R6" s="361" t="str">
        <f ca="1">$A$13</f>
        <v>RECALC_0_9_</v>
      </c>
      <c r="S6" s="361"/>
      <c r="T6" s="361"/>
      <c r="V6" s="361" t="str">
        <f ca="1">$A$14</f>
        <v>RECALC_0_10_</v>
      </c>
      <c r="W6" s="361"/>
      <c r="X6" s="361"/>
      <c r="AC6" s="361" t="str">
        <f ca="1">$A$13</f>
        <v>RECALC_0_9_</v>
      </c>
      <c r="AD6" s="361"/>
      <c r="AE6" s="361"/>
      <c r="AF6" s="361" t="str">
        <f ca="1">$A$13</f>
        <v>RECALC_0_9_</v>
      </c>
      <c r="AG6" s="361"/>
      <c r="AH6" s="361"/>
      <c r="AJ6" s="361" t="str">
        <f ca="1">$A$14</f>
        <v>RECALC_0_10_</v>
      </c>
      <c r="AK6" s="361"/>
      <c r="AL6" s="361"/>
      <c r="AM6" s="361" t="str">
        <f ca="1">$A$14</f>
        <v>RECALC_0_10_</v>
      </c>
      <c r="AN6" s="361"/>
      <c r="AO6" s="361"/>
      <c r="AZ6" s="361" t="str">
        <f ca="1">$A$13</f>
        <v>RECALC_0_9_</v>
      </c>
      <c r="BA6" s="361"/>
      <c r="BB6" s="361"/>
      <c r="BD6" s="361" t="str">
        <f ca="1">$A$14</f>
        <v>RECALC_0_10_</v>
      </c>
      <c r="BE6" s="361"/>
      <c r="BF6" s="361"/>
    </row>
    <row r="7" spans="1:78" ht="15" thickBot="1">
      <c r="A7" t="s">
        <v>8</v>
      </c>
      <c r="E7" s="148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321" t="s">
        <v>247</v>
      </c>
      <c r="R7" s="322"/>
      <c r="S7" s="322"/>
      <c r="T7" s="322"/>
      <c r="U7" s="322"/>
      <c r="V7" s="322"/>
      <c r="W7" s="322"/>
      <c r="X7" s="323"/>
      <c r="Y7" s="270"/>
      <c r="Z7" s="270"/>
      <c r="AA7" s="270"/>
      <c r="AB7" s="321" t="s">
        <v>226</v>
      </c>
      <c r="AC7" s="322"/>
      <c r="AD7" s="322"/>
      <c r="AE7" s="322"/>
      <c r="AF7" s="322"/>
      <c r="AG7" s="322"/>
      <c r="AH7" s="322"/>
      <c r="AI7" s="322"/>
      <c r="AJ7" s="322"/>
      <c r="AK7" s="322"/>
      <c r="AL7" s="322"/>
      <c r="AM7" s="322"/>
      <c r="AN7" s="322"/>
      <c r="AO7" s="323"/>
      <c r="AP7" s="270"/>
      <c r="AQ7" s="270"/>
      <c r="AR7" s="270"/>
      <c r="AS7" s="324" t="s">
        <v>234</v>
      </c>
      <c r="AT7" s="325"/>
      <c r="AU7" s="325"/>
      <c r="AV7" s="325"/>
      <c r="AW7" s="325"/>
      <c r="AX7" s="325"/>
      <c r="AY7" s="325"/>
      <c r="AZ7" s="325"/>
      <c r="BA7" s="325"/>
      <c r="BB7" s="325"/>
      <c r="BC7" s="325"/>
      <c r="BD7" s="325"/>
      <c r="BE7" s="325"/>
      <c r="BF7" s="326"/>
      <c r="BG7" s="270"/>
      <c r="BH7" s="270"/>
      <c r="BI7" s="270"/>
      <c r="BJ7" s="270"/>
      <c r="BK7" s="270"/>
      <c r="BL7" s="270"/>
      <c r="BM7" s="270"/>
      <c r="BN7" s="270"/>
      <c r="BO7" s="270"/>
      <c r="BP7" s="270"/>
      <c r="BQ7" s="270"/>
      <c r="BR7" s="221"/>
    </row>
    <row r="8" spans="1:78">
      <c r="E8" s="148"/>
      <c r="F8" s="270"/>
      <c r="G8" s="341" t="str">
        <f ca="1">$A$13</f>
        <v>RECALC_0_9_</v>
      </c>
      <c r="H8" s="341"/>
      <c r="I8" s="341"/>
      <c r="J8" s="270"/>
      <c r="K8" s="341" t="str">
        <f ca="1">$A$14</f>
        <v>RECALC_0_10_</v>
      </c>
      <c r="L8" s="341"/>
      <c r="M8" s="341"/>
      <c r="N8" s="270"/>
      <c r="O8" s="270"/>
      <c r="P8" s="270" t="str">
        <f ca="1">'Value Tree 1'!$F$4</f>
        <v>RECALC_0_5_</v>
      </c>
      <c r="Q8" s="271"/>
      <c r="R8" s="327" t="str" cm="1">
        <f t="array" aca="1" ref="R8" ca="1">_xll.DBRW(A6,A10,R6,P8,A20,A23,"Closing Balance Debt",A39)</f>
        <v>RECALC_1_52_</v>
      </c>
      <c r="S8" s="328"/>
      <c r="T8" s="328"/>
      <c r="U8" s="272"/>
      <c r="V8" s="327" t="str" cm="1">
        <f t="array" aca="1" ref="V8" ca="1">_xll.DBRW(A6,A10,V6,P8,A20,A23,"Closing Balance Debt",A39)</f>
        <v>RECALC_1_47_</v>
      </c>
      <c r="W8" s="328"/>
      <c r="X8" s="329"/>
      <c r="Y8" s="270"/>
      <c r="Z8" s="270"/>
      <c r="AA8" s="270" t="str">
        <f ca="1">'Value Tree 1'!$F$4</f>
        <v>RECALC_0_5_</v>
      </c>
      <c r="AB8" s="273"/>
      <c r="AC8" s="330" t="str">
        <f ca="1">_xll.DBRW($A$3,$A$10,AC$6,$AA8,$AQ8,$AP8,"Total Products","EBITDA LTM","Value")</f>
        <v>RECALC_1_21_</v>
      </c>
      <c r="AD8" s="331"/>
      <c r="AE8" s="332"/>
      <c r="AF8" s="274"/>
      <c r="AG8" s="274"/>
      <c r="AH8" s="274"/>
      <c r="AI8" s="275"/>
      <c r="AJ8" s="327" t="str">
        <f ca="1">_xll.DBRW($A$3,$A$10,AJ$6,$AA8,$AQ8,$AP8,"Total Products","EBITDA LTM","Value")</f>
        <v>RECALC_1_23_</v>
      </c>
      <c r="AK8" s="328"/>
      <c r="AL8" s="329"/>
      <c r="AM8" s="333"/>
      <c r="AN8" s="331"/>
      <c r="AO8" s="332"/>
      <c r="AP8" t="str">
        <f ca="1">_xll.SUBNM("CONS_VC:ALL.D.Region","","VCBR")</f>
        <v>RECALC_0_6_</v>
      </c>
      <c r="AQ8" s="270" t="s">
        <v>283</v>
      </c>
      <c r="AR8" s="276"/>
      <c r="AS8" s="334" t="s">
        <v>227</v>
      </c>
      <c r="AT8" s="335"/>
      <c r="AU8" s="335"/>
      <c r="AV8" s="335"/>
      <c r="AW8" s="335"/>
      <c r="AX8" s="335"/>
      <c r="AY8" s="277"/>
      <c r="AZ8" s="328" t="str">
        <f ca="1">_xll.DBRW($A$3,$A$10,AZ$6,$BX8,$BT8,$BV8,$BZ8,"EBITDA LTM","Value")</f>
        <v>RECALC_1_103_</v>
      </c>
      <c r="BA8" s="328"/>
      <c r="BB8" s="328"/>
      <c r="BC8" s="278"/>
      <c r="BD8" s="328" t="str">
        <f ca="1">_xll.DBRW($A$3,$A$10,BD$6,$BX8,$BT8,$BV8,$BZ8,"EBITDA LTM","Value")</f>
        <v>RECALC_1_97_</v>
      </c>
      <c r="BE8" s="328"/>
      <c r="BF8" s="329"/>
      <c r="BG8" s="279"/>
      <c r="BH8" s="279"/>
      <c r="BI8" s="279"/>
      <c r="BJ8" s="279"/>
      <c r="BK8" s="279"/>
      <c r="BL8" s="279"/>
      <c r="BM8" s="279"/>
      <c r="BN8" s="279"/>
      <c r="BO8" s="279"/>
      <c r="BP8" s="279"/>
      <c r="BQ8" s="280"/>
      <c r="BR8" s="221"/>
      <c r="BT8" s="270" t="s">
        <v>283</v>
      </c>
      <c r="BV8" t="s">
        <v>21</v>
      </c>
      <c r="BX8" t="s">
        <v>34</v>
      </c>
      <c r="BZ8" t="s">
        <v>259</v>
      </c>
    </row>
    <row r="9" spans="1:78">
      <c r="A9" s="2" t="s">
        <v>9</v>
      </c>
      <c r="E9" s="148"/>
      <c r="F9" s="321" t="s">
        <v>225</v>
      </c>
      <c r="G9" s="322"/>
      <c r="H9" s="322"/>
      <c r="I9" s="322"/>
      <c r="J9" s="322"/>
      <c r="K9" s="322"/>
      <c r="L9" s="322"/>
      <c r="M9" s="323"/>
      <c r="N9" s="270"/>
      <c r="O9" s="270"/>
      <c r="P9" s="270" t="str">
        <f ca="1">'Value Tree 1'!$F$5</f>
        <v>RECALC_0_4_</v>
      </c>
      <c r="Q9" s="281"/>
      <c r="R9" s="340" t="str" cm="1">
        <f t="array" aca="1" ref="R9" ca="1">_xll.DBRW(A6,A10,R6,P9,A20,A23,"Closing Balance Debt",A39)</f>
        <v>RECALC_1_76_</v>
      </c>
      <c r="S9" s="341"/>
      <c r="T9" s="341"/>
      <c r="U9" s="282"/>
      <c r="V9" s="340" t="str" cm="1">
        <f t="array" aca="1" ref="V9" ca="1">_xll.DBRW(A6,A10,V6,P9,A20,A23,"Closing Balance Debt",A39)</f>
        <v>RECALC_1_84_</v>
      </c>
      <c r="W9" s="341"/>
      <c r="X9" s="342"/>
      <c r="Y9" s="270"/>
      <c r="Z9" s="283"/>
      <c r="AA9" s="284" t="str">
        <f ca="1">'Value Tree 1'!$F$5</f>
        <v>RECALC_0_4_</v>
      </c>
      <c r="AB9" s="285"/>
      <c r="AC9" s="340" t="str">
        <f ca="1">_xll.DBRW($A$3,$A$10,AC$6,$AA9,$AQ9,$AP9,"Total Products","EBITDA LTM","Value")</f>
        <v>RECALC_1_20_</v>
      </c>
      <c r="AD9" s="341"/>
      <c r="AE9" s="342"/>
      <c r="AF9" s="340"/>
      <c r="AG9" s="341"/>
      <c r="AH9" s="341"/>
      <c r="AI9" s="286"/>
      <c r="AJ9" s="340" t="str">
        <f ca="1">_xll.DBRW($A$3,$A$10,AJ$6,$AA9,$AQ9,$AP9,"Total Products","EBITDA LTM","Value")</f>
        <v>RECALC_1_22_</v>
      </c>
      <c r="AK9" s="341"/>
      <c r="AL9" s="342"/>
      <c r="AM9" s="343"/>
      <c r="AN9" s="341"/>
      <c r="AO9" s="342"/>
      <c r="AP9" t="str">
        <f ca="1">_xll.SUBNM("CONS_VC:ALL.D.Region","","VCBR")</f>
        <v>RECALC_0_6_</v>
      </c>
      <c r="AQ9" s="270" t="s">
        <v>283</v>
      </c>
      <c r="AR9" s="287"/>
      <c r="AS9" s="344" t="s">
        <v>228</v>
      </c>
      <c r="AT9" s="345"/>
      <c r="AU9" s="345"/>
      <c r="AV9" s="345"/>
      <c r="AW9" s="345"/>
      <c r="AX9" s="345"/>
      <c r="AY9" s="288"/>
      <c r="AZ9" s="336" t="str">
        <f ca="1">_xll.DBRW($A$3,$A$10,AZ$6,$BX9,$BT9,$BV9,$BZ9,"EBITDA LTM","Value")</f>
        <v>RECALC_1_32_</v>
      </c>
      <c r="BA9" s="336"/>
      <c r="BB9" s="336"/>
      <c r="BC9" s="289"/>
      <c r="BD9" s="336" t="str">
        <f ca="1">_xll.DBRW($A$3,$A$10,BD$6,$BX9,$BT9,$BV9,$BZ9,"EBITDA LTM","Value")</f>
        <v>RECALC_1_95_</v>
      </c>
      <c r="BE9" s="336"/>
      <c r="BF9" s="337"/>
      <c r="BG9" s="290"/>
      <c r="BH9" s="290"/>
      <c r="BI9" s="290"/>
      <c r="BJ9" s="290"/>
      <c r="BK9" s="290"/>
      <c r="BL9" s="290"/>
      <c r="BM9" s="290"/>
      <c r="BN9" s="290"/>
      <c r="BO9" s="290"/>
      <c r="BP9" s="290"/>
      <c r="BQ9" s="291"/>
      <c r="BR9" s="221"/>
      <c r="BT9" s="270" t="s">
        <v>283</v>
      </c>
      <c r="BV9" t="s">
        <v>21</v>
      </c>
      <c r="BX9" t="s">
        <v>34</v>
      </c>
      <c r="BZ9" t="s">
        <v>258</v>
      </c>
    </row>
    <row r="10" spans="1:78">
      <c r="A10" t="str">
        <f ca="1">_xll.SUBNM("CONS_VC:ALL.D.Year","","2025")</f>
        <v>RECALC_0_7_</v>
      </c>
      <c r="E10" s="148" t="str">
        <f ca="1">'Value Tree 1'!$F$4</f>
        <v>RECALC_0_5_</v>
      </c>
      <c r="F10" s="271"/>
      <c r="G10" s="327" t="e">
        <f ca="1">_xll.DBRW(A6,A10,G8,E10,A20,A23,"Closing Balance Debt",A39)/_xll.DBRW(A3,A10,G8,E10,A20,A23,"Total Products","EBITDA Adjacências","Value")</f>
        <v>#VALUE!</v>
      </c>
      <c r="H10" s="328"/>
      <c r="I10" s="328"/>
      <c r="J10" s="272"/>
      <c r="K10" s="327" t="e">
        <f ca="1">_xll.DBRW(A6,A10,K8,E10,A20,A23,"Closing Balance Debt",A39)/_xll.DBRW(A3,A10,K8,E10,A20,A23,"Total Products","EBITDA Adjacências","Value")</f>
        <v>#VALUE!</v>
      </c>
      <c r="L10" s="328"/>
      <c r="M10" s="329"/>
      <c r="N10" s="270"/>
      <c r="O10" s="270"/>
      <c r="P10" s="270"/>
      <c r="Q10" s="270"/>
      <c r="R10" s="341" t="str">
        <f ca="1">$A$13</f>
        <v>RECALC_0_9_</v>
      </c>
      <c r="S10" s="341"/>
      <c r="T10" s="341"/>
      <c r="U10" s="270"/>
      <c r="V10" s="341" t="str">
        <f ca="1">$A$14</f>
        <v>RECALC_0_10_</v>
      </c>
      <c r="W10" s="341"/>
      <c r="X10" s="341"/>
      <c r="Y10" s="292"/>
      <c r="Z10" s="270"/>
      <c r="AA10" s="293"/>
      <c r="AB10" s="321" t="s">
        <v>246</v>
      </c>
      <c r="AC10" s="322"/>
      <c r="AD10" s="322"/>
      <c r="AE10" s="322"/>
      <c r="AF10" s="322"/>
      <c r="AG10" s="322"/>
      <c r="AH10" s="322"/>
      <c r="AI10" s="322"/>
      <c r="AJ10" s="322"/>
      <c r="AK10" s="322"/>
      <c r="AL10" s="322"/>
      <c r="AM10" s="322"/>
      <c r="AN10" s="322"/>
      <c r="AO10" s="323"/>
      <c r="AP10" s="294"/>
      <c r="AQ10" s="295"/>
      <c r="AR10" s="296"/>
      <c r="AS10" s="338" t="s">
        <v>229</v>
      </c>
      <c r="AT10" s="339"/>
      <c r="AU10" s="339"/>
      <c r="AV10" s="339"/>
      <c r="AW10" s="339"/>
      <c r="AX10" s="339"/>
      <c r="AY10" s="289"/>
      <c r="AZ10" s="331" t="str">
        <f ca="1">_xll.DBRW($A$3,$A$10,AZ$6,$BX10,$BT10,$BV10,$BZ10,"EBITDA LTM","Value")</f>
        <v>RECALC_1_41_</v>
      </c>
      <c r="BA10" s="331"/>
      <c r="BB10" s="331"/>
      <c r="BC10" s="289"/>
      <c r="BD10" s="331" t="str">
        <f ca="1">_xll.DBRW($A$3,$A$10,BD$6,$BX10,$BT10,$BV10,$BZ10,"EBITDA LTM","Value")</f>
        <v>RECALC_1_39_</v>
      </c>
      <c r="BE10" s="331"/>
      <c r="BF10" s="332"/>
      <c r="BG10" s="290"/>
      <c r="BH10" s="290"/>
      <c r="BI10" s="290"/>
      <c r="BJ10" s="290"/>
      <c r="BK10" s="290"/>
      <c r="BL10" s="290"/>
      <c r="BM10" s="290"/>
      <c r="BN10" s="290"/>
      <c r="BO10" s="290"/>
      <c r="BP10" s="290"/>
      <c r="BQ10" s="291"/>
      <c r="BR10" s="221"/>
      <c r="BT10" s="270" t="s">
        <v>283</v>
      </c>
      <c r="BV10" t="s">
        <v>21</v>
      </c>
      <c r="BX10" t="s">
        <v>34</v>
      </c>
      <c r="BZ10" t="s">
        <v>260</v>
      </c>
    </row>
    <row r="11" spans="1:78">
      <c r="E11" s="148" t="str">
        <f ca="1">'Value Tree 1'!$F$5</f>
        <v>RECALC_0_4_</v>
      </c>
      <c r="F11" s="281"/>
      <c r="G11" s="340" t="e">
        <f ca="1">_xll.DBRW(A6,A10,G8,E11,A20,A23,"Closing Balance Debt",A39)/_xll.DBRW(A3,A10,G8,E11,A20,A23,"Total Products","EBITDA Adjacências","Value")</f>
        <v>#VALUE!</v>
      </c>
      <c r="H11" s="341"/>
      <c r="I11" s="341"/>
      <c r="J11" s="282"/>
      <c r="K11" s="340" t="e">
        <f ca="1">_xll.DBRW(A6,A10,K8,E11,A20,A23,"Closing Balance Debt",A39)/_xll.DBRW(A3,A10,K8,E11,A20,A23,"Total Products","EBITDA Adjacências","Value")</f>
        <v>#VALUE!</v>
      </c>
      <c r="L11" s="341"/>
      <c r="M11" s="342"/>
      <c r="N11" s="297"/>
      <c r="O11" s="283"/>
      <c r="P11" s="284"/>
      <c r="Q11" s="321" t="s">
        <v>248</v>
      </c>
      <c r="R11" s="322"/>
      <c r="S11" s="322"/>
      <c r="T11" s="322"/>
      <c r="U11" s="322"/>
      <c r="V11" s="322"/>
      <c r="W11" s="322"/>
      <c r="X11" s="323"/>
      <c r="Y11" s="292"/>
      <c r="Z11" s="270"/>
      <c r="AA11" s="270" t="str">
        <f ca="1">'Value Tree 1'!$F$4</f>
        <v>RECALC_0_5_</v>
      </c>
      <c r="AB11" s="273"/>
      <c r="AC11" s="330"/>
      <c r="AD11" s="331"/>
      <c r="AE11" s="332"/>
      <c r="AF11" s="274"/>
      <c r="AG11" s="274"/>
      <c r="AH11" s="274"/>
      <c r="AI11" s="275"/>
      <c r="AJ11" s="330"/>
      <c r="AK11" s="331"/>
      <c r="AL11" s="332"/>
      <c r="AM11" s="333"/>
      <c r="AN11" s="331"/>
      <c r="AO11" s="332"/>
      <c r="AP11" t="str">
        <f ca="1">_xll.SUBNM("CONS_VC:ALL.D.Region","","VCBR")</f>
        <v>RECALC_0_6_</v>
      </c>
      <c r="AQ11" s="270" t="s">
        <v>283</v>
      </c>
      <c r="AR11" s="287"/>
      <c r="AS11" s="344" t="s">
        <v>230</v>
      </c>
      <c r="AT11" s="345"/>
      <c r="AU11" s="345"/>
      <c r="AV11" s="345"/>
      <c r="AW11" s="345"/>
      <c r="AX11" s="345"/>
      <c r="AY11" s="288"/>
      <c r="AZ11" s="336" t="str">
        <f ca="1">_xll.DBRW($A$3,$A$10,AZ$6,$BX11,$BT11,$BV11,$BZ11,"EBITDA LTM","Value")</f>
        <v>RECALC_1_65_</v>
      </c>
      <c r="BA11" s="336"/>
      <c r="BB11" s="336"/>
      <c r="BC11" s="289"/>
      <c r="BD11" s="336" t="str">
        <f ca="1">_xll.DBRW($A$3,$A$10,BD$6,$BX11,$BT11,$BV11,$BZ11,"EBITDA LTM","Value")</f>
        <v>RECALC_1_105_</v>
      </c>
      <c r="BE11" s="336"/>
      <c r="BF11" s="337"/>
      <c r="BG11" s="290"/>
      <c r="BH11" s="290"/>
      <c r="BI11" s="290"/>
      <c r="BJ11" s="290"/>
      <c r="BK11" s="290"/>
      <c r="BL11" s="290"/>
      <c r="BM11" s="290"/>
      <c r="BN11" s="290"/>
      <c r="BO11" s="290"/>
      <c r="BP11" s="290"/>
      <c r="BQ11" s="291"/>
      <c r="BR11" s="221"/>
      <c r="BT11" s="270" t="s">
        <v>283</v>
      </c>
      <c r="BV11" t="s">
        <v>21</v>
      </c>
      <c r="BX11" t="s">
        <v>34</v>
      </c>
      <c r="BZ11" t="s">
        <v>261</v>
      </c>
    </row>
    <row r="12" spans="1:78">
      <c r="A12" s="2" t="s">
        <v>10</v>
      </c>
      <c r="E12" s="148"/>
      <c r="F12" s="270"/>
      <c r="G12" s="341" t="str">
        <f ca="1">$A$13</f>
        <v>RECALC_0_9_</v>
      </c>
      <c r="H12" s="341"/>
      <c r="I12" s="341"/>
      <c r="J12" s="270"/>
      <c r="K12" s="341" t="str">
        <f ca="1">$A$14</f>
        <v>RECALC_0_10_</v>
      </c>
      <c r="L12" s="341"/>
      <c r="M12" s="341"/>
      <c r="N12" s="270"/>
      <c r="O12" s="270"/>
      <c r="P12" s="270" t="str">
        <f ca="1">'Value Tree 1'!$F$4</f>
        <v>RECALC_0_5_</v>
      </c>
      <c r="Q12" s="271"/>
      <c r="R12" s="327" t="str">
        <f ca="1">_xll.DBRW(A3,A10,R10,P12,A20,A23,"Total Products","EBITDA LTM","Value")</f>
        <v>RECALC_1_117_</v>
      </c>
      <c r="S12" s="328"/>
      <c r="T12" s="328"/>
      <c r="U12" s="272"/>
      <c r="V12" s="327" t="str">
        <f ca="1">_xll.DBRW(A3,A10,V10,P12,A20,A23,"Total Products","EBITDA LTM","Value")</f>
        <v>RECALC_1_29_</v>
      </c>
      <c r="W12" s="328"/>
      <c r="X12" s="329"/>
      <c r="Y12" s="292"/>
      <c r="Z12" s="270"/>
      <c r="AA12" s="270" t="str">
        <f ca="1">'Value Tree 1'!$F$5</f>
        <v>RECALC_0_4_</v>
      </c>
      <c r="AB12" s="285"/>
      <c r="AC12" s="340"/>
      <c r="AD12" s="341"/>
      <c r="AE12" s="342"/>
      <c r="AF12" s="340"/>
      <c r="AG12" s="341"/>
      <c r="AH12" s="341"/>
      <c r="AI12" s="286"/>
      <c r="AJ12" s="340"/>
      <c r="AK12" s="341"/>
      <c r="AL12" s="342"/>
      <c r="AM12" s="343"/>
      <c r="AN12" s="341"/>
      <c r="AO12" s="342"/>
      <c r="AP12" t="str">
        <f ca="1">_xll.SUBNM("CONS_VC:ALL.D.Region","","VCBR")</f>
        <v>RECALC_0_6_</v>
      </c>
      <c r="AQ12" s="270" t="s">
        <v>283</v>
      </c>
      <c r="AR12" s="287"/>
      <c r="AS12" s="338" t="s">
        <v>231</v>
      </c>
      <c r="AT12" s="339"/>
      <c r="AU12" s="339"/>
      <c r="AV12" s="339"/>
      <c r="AW12" s="339"/>
      <c r="AX12" s="339"/>
      <c r="AY12" s="289"/>
      <c r="AZ12" s="331" t="str">
        <f ca="1">_xll.DBRW($A$3,$A$10,AZ$6,$BX12,$BT12,$BV12,$BZ12,"EBITDA LTM","Value")</f>
        <v>RECALC_1_99_</v>
      </c>
      <c r="BA12" s="331"/>
      <c r="BB12" s="331"/>
      <c r="BC12" s="289"/>
      <c r="BD12" s="331" t="str">
        <f ca="1">_xll.DBRW($A$3,$A$10,BD$6,$BX12,$BT12,$BV12,$BZ12,"EBITDA LTM","Value")</f>
        <v>RECALC_1_102_</v>
      </c>
      <c r="BE12" s="331"/>
      <c r="BF12" s="332"/>
      <c r="BG12" s="290"/>
      <c r="BH12" s="290"/>
      <c r="BI12" s="290"/>
      <c r="BJ12" s="290"/>
      <c r="BK12" s="290"/>
      <c r="BL12" s="290"/>
      <c r="BM12" s="290"/>
      <c r="BN12" s="290"/>
      <c r="BO12" s="290"/>
      <c r="BP12" s="290"/>
      <c r="BQ12" s="291"/>
      <c r="BR12" s="221"/>
      <c r="BT12" s="270" t="s">
        <v>283</v>
      </c>
      <c r="BV12" t="s">
        <v>21</v>
      </c>
      <c r="BX12" t="s">
        <v>34</v>
      </c>
      <c r="BZ12" t="s">
        <v>262</v>
      </c>
    </row>
    <row r="13" spans="1:78">
      <c r="A13" t="str">
        <f ca="1">_xll.SUBNM("CONS_VC:ALL.D.Month",,"Total YTD","MEMBER_NAME")</f>
        <v>RECALC_0_9_</v>
      </c>
      <c r="E13" s="148"/>
      <c r="F13" s="321" t="s">
        <v>255</v>
      </c>
      <c r="G13" s="322"/>
      <c r="H13" s="322"/>
      <c r="I13" s="322"/>
      <c r="J13" s="322"/>
      <c r="K13" s="322"/>
      <c r="L13" s="322"/>
      <c r="M13" s="323"/>
      <c r="N13" s="270"/>
      <c r="O13" s="270"/>
      <c r="P13" s="284" t="str">
        <f ca="1">'Value Tree 1'!$F$5</f>
        <v>RECALC_0_4_</v>
      </c>
      <c r="Q13" s="281"/>
      <c r="R13" s="346" t="str">
        <f ca="1">_xll.DBRW(A3,A10,R10,P13,A20,A23,"Total Products","EBITDA LTM","Value")</f>
        <v>RECALC_1_119_</v>
      </c>
      <c r="S13" s="347"/>
      <c r="T13" s="347"/>
      <c r="U13" s="282"/>
      <c r="V13" s="340" t="str">
        <f ca="1">_xll.DBRW(A3,A10,V10,P13,A20,A23,"Total Products","EBITDA LTM","Value")</f>
        <v>RECALC_1_27_</v>
      </c>
      <c r="W13" s="341"/>
      <c r="X13" s="342"/>
      <c r="Y13" s="298"/>
      <c r="Z13" s="270"/>
      <c r="AA13" s="270"/>
      <c r="AB13" s="270"/>
      <c r="AC13" s="270"/>
      <c r="AD13" s="270"/>
      <c r="AE13" s="270"/>
      <c r="AF13" s="270"/>
      <c r="AG13" s="270"/>
      <c r="AH13" s="270"/>
      <c r="AI13" s="270"/>
      <c r="AJ13" s="270"/>
      <c r="AK13" s="270"/>
      <c r="AL13" s="270"/>
      <c r="AM13" s="270"/>
      <c r="AN13" s="270"/>
      <c r="AO13" s="270"/>
      <c r="AP13" s="270"/>
      <c r="AQ13" s="270"/>
      <c r="AR13" s="287"/>
      <c r="AS13" s="344" t="s">
        <v>232</v>
      </c>
      <c r="AT13" s="345"/>
      <c r="AU13" s="345"/>
      <c r="AV13" s="345"/>
      <c r="AW13" s="345"/>
      <c r="AX13" s="345"/>
      <c r="AY13" s="289"/>
      <c r="AZ13" s="336" t="str">
        <f ca="1">_xll.DBRW($A$3,$A$10,AZ$6,$BX13,$BT13,$BV13,$BZ13,"EBITDA LTM","Value")</f>
        <v>RECALC_1_43_</v>
      </c>
      <c r="BA13" s="336"/>
      <c r="BB13" s="336"/>
      <c r="BC13" s="289"/>
      <c r="BD13" s="336" t="str">
        <f ca="1">_xll.DBRW($A$3,$A$10,BD$6,$BX13,$BT13,$BV13,$BZ13,"EBITDA LTM","Value")</f>
        <v>RECALC_1_71_</v>
      </c>
      <c r="BE13" s="336"/>
      <c r="BF13" s="337"/>
      <c r="BG13" s="290"/>
      <c r="BH13" s="290"/>
      <c r="BI13" s="290"/>
      <c r="BJ13" s="290"/>
      <c r="BK13" s="290"/>
      <c r="BL13" s="290"/>
      <c r="BM13" s="290"/>
      <c r="BN13" s="290"/>
      <c r="BO13" s="290"/>
      <c r="BP13" s="290"/>
      <c r="BQ13" s="291"/>
      <c r="BR13" s="221"/>
      <c r="BT13" s="270" t="s">
        <v>283</v>
      </c>
      <c r="BV13" t="s">
        <v>21</v>
      </c>
      <c r="BX13" t="s">
        <v>34</v>
      </c>
      <c r="BZ13" t="s">
        <v>263</v>
      </c>
    </row>
    <row r="14" spans="1:78">
      <c r="A14" t="str">
        <f ca="1">_xll.SUBNM("CONS_VC:ALL.D.Month",,"Year","MEMBER_NAME")</f>
        <v>RECALC_0_10_</v>
      </c>
      <c r="E14" s="148" t="str">
        <f ca="1">'Value Tree 1'!$F$4</f>
        <v>RECALC_0_5_</v>
      </c>
      <c r="F14" s="299"/>
      <c r="G14" s="327" t="str">
        <f ca="1">_xll.DBRW(A4,A10,G12,E14,A20,A23,A26,A29,A36)</f>
        <v>RECALC_1_59_</v>
      </c>
      <c r="H14" s="328"/>
      <c r="I14" s="328"/>
      <c r="J14" s="300"/>
      <c r="K14" s="327" t="str">
        <f ca="1">_xll.DBRW(A4,A10,K12,E14,A20,A23,A26,A29,A36)</f>
        <v>RECALC_1_98_</v>
      </c>
      <c r="L14" s="328"/>
      <c r="M14" s="329"/>
      <c r="N14" s="270"/>
      <c r="O14" s="292"/>
      <c r="P14" s="270"/>
      <c r="Q14" s="270"/>
      <c r="R14" s="341" t="str">
        <f ca="1">$A$13</f>
        <v>RECALC_0_9_</v>
      </c>
      <c r="S14" s="341"/>
      <c r="T14" s="341"/>
      <c r="U14" s="270"/>
      <c r="V14" s="341" t="str">
        <f ca="1">$A$14</f>
        <v>RECALC_0_10_</v>
      </c>
      <c r="W14" s="341"/>
      <c r="X14" s="341"/>
      <c r="Y14" s="292"/>
      <c r="Z14" s="270"/>
      <c r="AA14" s="270"/>
      <c r="AB14" s="270"/>
      <c r="AC14" s="270"/>
      <c r="AD14" s="270"/>
      <c r="AE14" s="270"/>
      <c r="AF14" s="270"/>
      <c r="AG14" s="270"/>
      <c r="AH14" s="270"/>
      <c r="AI14" s="270"/>
      <c r="AJ14" s="270"/>
      <c r="AK14" s="270"/>
      <c r="AL14" s="270"/>
      <c r="AM14" s="270"/>
      <c r="AN14" s="270"/>
      <c r="AO14" s="270"/>
      <c r="AP14" s="270"/>
      <c r="AQ14" s="270"/>
      <c r="AR14" s="287"/>
      <c r="AS14" s="348" t="s">
        <v>233</v>
      </c>
      <c r="AT14" s="349"/>
      <c r="AU14" s="349"/>
      <c r="AV14" s="349"/>
      <c r="AW14" s="349"/>
      <c r="AX14" s="349"/>
      <c r="AY14" s="301"/>
      <c r="AZ14" s="350" t="str">
        <f ca="1">_xll.DBRW($A$3,$A$10,AZ$6,$BX14,$BT14,$BV14,$BZ14,"EBITDA LTM","Value")</f>
        <v>RECALC_1_62_</v>
      </c>
      <c r="BA14" s="350"/>
      <c r="BB14" s="350"/>
      <c r="BC14" s="302"/>
      <c r="BD14" s="350" t="str">
        <f ca="1">_xll.DBRW($A$3,$A$10,BD$6,$BX14,$BT14,$BV14,$BZ14,"EBITDA LTM","Value")</f>
        <v>RECALC_1_34_</v>
      </c>
      <c r="BE14" s="350"/>
      <c r="BF14" s="351"/>
      <c r="BG14" s="290"/>
      <c r="BH14" s="290"/>
      <c r="BI14" s="290"/>
      <c r="BJ14" s="290"/>
      <c r="BK14" s="290"/>
      <c r="BL14" s="290"/>
      <c r="BM14" s="290"/>
      <c r="BN14" s="290"/>
      <c r="BO14" s="290"/>
      <c r="BP14" s="290"/>
      <c r="BQ14" s="291"/>
      <c r="BR14" s="221"/>
      <c r="BT14" s="270" t="s">
        <v>283</v>
      </c>
      <c r="BV14" t="s">
        <v>21</v>
      </c>
      <c r="BX14" t="s">
        <v>34</v>
      </c>
      <c r="BZ14" t="s">
        <v>264</v>
      </c>
    </row>
    <row r="15" spans="1:78">
      <c r="E15" s="148" t="str">
        <f ca="1">'Value Tree 1'!$F$5</f>
        <v>RECALC_0_4_</v>
      </c>
      <c r="F15" s="303"/>
      <c r="G15" s="340" t="str">
        <f ca="1">_xll.DBRW(A4,A10,G12,E15,A20,A23,A26,A29,A36)</f>
        <v>RECALC_1_57_</v>
      </c>
      <c r="H15" s="341"/>
      <c r="I15" s="341"/>
      <c r="J15" s="304"/>
      <c r="K15" s="340" t="str">
        <f ca="1">_xll.DBRW(A4,A10,K12,E15,A20,A23,A26,A29,A36)</f>
        <v>RECALC_1_44_</v>
      </c>
      <c r="L15" s="341"/>
      <c r="M15" s="342"/>
      <c r="N15" s="270"/>
      <c r="O15" s="292"/>
      <c r="P15" s="270"/>
      <c r="Q15" s="321" t="s">
        <v>249</v>
      </c>
      <c r="R15" s="322"/>
      <c r="S15" s="322"/>
      <c r="T15" s="322"/>
      <c r="U15" s="322"/>
      <c r="V15" s="322"/>
      <c r="W15" s="322"/>
      <c r="X15" s="323"/>
      <c r="Y15" s="292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87"/>
      <c r="AS15" s="290"/>
      <c r="AT15" s="290"/>
      <c r="AU15" s="290"/>
      <c r="AV15" s="290"/>
      <c r="AW15" s="290"/>
      <c r="AX15" s="290"/>
      <c r="AY15" s="290"/>
      <c r="AZ15" s="290"/>
      <c r="BA15" s="290"/>
      <c r="BB15" s="290"/>
      <c r="BC15" s="290"/>
      <c r="BD15" s="290"/>
      <c r="BE15" s="290"/>
      <c r="BF15" s="290"/>
      <c r="BG15" s="290"/>
      <c r="BH15" s="290"/>
      <c r="BI15" s="290"/>
      <c r="BJ15" s="290"/>
      <c r="BK15" s="290"/>
      <c r="BL15" s="290"/>
      <c r="BM15" s="290"/>
      <c r="BN15" s="290"/>
      <c r="BO15" s="290"/>
      <c r="BP15" s="290"/>
      <c r="BQ15" s="291"/>
      <c r="BR15" s="221"/>
    </row>
    <row r="16" spans="1:78">
      <c r="A16" s="2" t="s">
        <v>11</v>
      </c>
      <c r="E16" s="148"/>
      <c r="F16" s="270"/>
      <c r="G16" s="270"/>
      <c r="H16" s="270"/>
      <c r="I16" s="270"/>
      <c r="J16" s="270"/>
      <c r="K16" s="270"/>
      <c r="L16" s="270"/>
      <c r="M16" s="270"/>
      <c r="N16" s="270"/>
      <c r="O16" s="292"/>
      <c r="P16" s="270" t="str">
        <f ca="1">'Value Tree 1'!$F$4</f>
        <v>RECALC_0_5_</v>
      </c>
      <c r="Q16" s="271"/>
      <c r="R16" s="327" t="str">
        <f ca="1">_xll.DBRW(A3,A10,R14,P16,A20,A23,"Total Products","EBIT","Value")</f>
        <v>RECALC_1_36_</v>
      </c>
      <c r="S16" s="328"/>
      <c r="T16" s="328"/>
      <c r="U16" s="272"/>
      <c r="V16" s="327" t="str">
        <f ca="1">_xll.DBRW(A3,A10,V14,P16,A20,A23,"Total Products","EBIT","Value")</f>
        <v>RECALC_1_121_</v>
      </c>
      <c r="W16" s="328"/>
      <c r="X16" s="329"/>
      <c r="Y16" s="292"/>
      <c r="Z16" s="270"/>
      <c r="AA16" s="270"/>
      <c r="AB16" s="270"/>
      <c r="AC16" s="361" t="str">
        <f ca="1">$A$13</f>
        <v>RECALC_0_9_</v>
      </c>
      <c r="AD16" s="361"/>
      <c r="AE16" s="361"/>
      <c r="AF16" s="361" t="str">
        <f ca="1">$A$13</f>
        <v>RECALC_0_9_</v>
      </c>
      <c r="AG16" s="361"/>
      <c r="AH16" s="361"/>
      <c r="AI16" s="270"/>
      <c r="AJ16" s="361" t="s">
        <v>67</v>
      </c>
      <c r="AK16" s="361"/>
      <c r="AL16" s="361"/>
      <c r="AM16" s="361" t="s">
        <v>67</v>
      </c>
      <c r="AN16" s="361"/>
      <c r="AO16" s="361"/>
      <c r="AP16" s="270"/>
      <c r="AQ16" s="270"/>
      <c r="AR16" s="287"/>
      <c r="AS16" s="290"/>
      <c r="AT16" s="290"/>
      <c r="AU16" s="290"/>
      <c r="AV16" s="290"/>
      <c r="AW16" s="290"/>
      <c r="AX16" s="290"/>
      <c r="AY16" s="290"/>
      <c r="AZ16" s="365" t="str">
        <f ca="1">$A$13</f>
        <v>RECALC_0_9_</v>
      </c>
      <c r="BA16" s="365"/>
      <c r="BB16" s="365"/>
      <c r="BC16" s="290"/>
      <c r="BD16" s="365" t="str">
        <f ca="1">$A$14</f>
        <v>RECALC_0_10_</v>
      </c>
      <c r="BE16" s="365"/>
      <c r="BF16" s="365"/>
      <c r="BG16" s="290"/>
      <c r="BH16" s="290"/>
      <c r="BI16" s="290"/>
      <c r="BJ16" s="290"/>
      <c r="BK16" s="290"/>
      <c r="BL16" s="290"/>
      <c r="BM16" s="290"/>
      <c r="BN16" s="290"/>
      <c r="BO16" s="290"/>
      <c r="BP16" s="290"/>
      <c r="BQ16" s="291"/>
      <c r="BR16" s="221"/>
    </row>
    <row r="17" spans="1:88">
      <c r="E17" s="148"/>
      <c r="F17" s="270"/>
      <c r="G17" s="270"/>
      <c r="H17" s="270"/>
      <c r="I17" s="270"/>
      <c r="J17" s="270"/>
      <c r="K17" s="270"/>
      <c r="L17" s="270"/>
      <c r="M17" s="270"/>
      <c r="N17" s="270"/>
      <c r="O17" s="292"/>
      <c r="P17" s="270" t="str">
        <f ca="1">'Value Tree 1'!$F$5</f>
        <v>RECALC_0_4_</v>
      </c>
      <c r="Q17" s="281"/>
      <c r="R17" s="340" t="str">
        <f ca="1">_xll.DBRW(A3,A10,R14,P17,A20,A23,"Total Products","EBIT","Value")</f>
        <v>RECALC_1_55_</v>
      </c>
      <c r="S17" s="341"/>
      <c r="T17" s="341"/>
      <c r="U17" s="282"/>
      <c r="V17" s="340" t="str">
        <f ca="1">_xll.DBRW(A3,A10,V14,P17,A20,A23,"Total Products","EBIT","Value")</f>
        <v>RECALC_1_58_</v>
      </c>
      <c r="W17" s="341"/>
      <c r="X17" s="342"/>
      <c r="Y17" s="292"/>
      <c r="Z17" s="270"/>
      <c r="AA17" s="270"/>
      <c r="AB17" s="321" t="s">
        <v>245</v>
      </c>
      <c r="AC17" s="322"/>
      <c r="AD17" s="322"/>
      <c r="AE17" s="322"/>
      <c r="AF17" s="322"/>
      <c r="AG17" s="322"/>
      <c r="AH17" s="322"/>
      <c r="AI17" s="322"/>
      <c r="AJ17" s="322"/>
      <c r="AK17" s="322"/>
      <c r="AL17" s="322"/>
      <c r="AM17" s="322"/>
      <c r="AN17" s="322"/>
      <c r="AO17" s="323"/>
      <c r="AP17" s="270"/>
      <c r="AQ17" s="270"/>
      <c r="AR17" s="287"/>
      <c r="AS17" s="324" t="s">
        <v>257</v>
      </c>
      <c r="AT17" s="325"/>
      <c r="AU17" s="325"/>
      <c r="AV17" s="325"/>
      <c r="AW17" s="325"/>
      <c r="AX17" s="325"/>
      <c r="AY17" s="325"/>
      <c r="AZ17" s="325"/>
      <c r="BA17" s="325"/>
      <c r="BB17" s="325"/>
      <c r="BC17" s="325"/>
      <c r="BD17" s="325"/>
      <c r="BE17" s="325"/>
      <c r="BF17" s="326"/>
      <c r="BG17" s="290"/>
      <c r="BH17" s="290"/>
      <c r="BI17" s="290"/>
      <c r="BJ17" s="290"/>
      <c r="BK17" s="290"/>
      <c r="BL17" s="290"/>
      <c r="BM17" s="290"/>
      <c r="BN17" s="290"/>
      <c r="BO17" s="290"/>
      <c r="BP17" s="290"/>
      <c r="BQ17" s="291"/>
      <c r="BR17" s="221"/>
    </row>
    <row r="18" spans="1:88">
      <c r="E18" s="148"/>
      <c r="F18" s="270"/>
      <c r="G18" s="270"/>
      <c r="H18" s="270"/>
      <c r="I18" s="270"/>
      <c r="J18" s="270"/>
      <c r="K18" s="270"/>
      <c r="L18" s="270"/>
      <c r="M18" s="270"/>
      <c r="N18" s="270"/>
      <c r="O18" s="292"/>
      <c r="P18" s="270"/>
      <c r="Q18" s="270"/>
      <c r="R18" s="270"/>
      <c r="S18" s="270"/>
      <c r="T18" s="270"/>
      <c r="U18" s="270"/>
      <c r="V18" s="270"/>
      <c r="W18" s="270"/>
      <c r="X18" s="270"/>
      <c r="Y18" s="292"/>
      <c r="Z18" s="283"/>
      <c r="AA18" s="284" t="str">
        <f ca="1">'Value Tree 1'!$F$4</f>
        <v>RECALC_0_5_</v>
      </c>
      <c r="AB18" s="273"/>
      <c r="AC18" s="327" t="str">
        <f ca="1">_xll.DBRW($A$3,$A$10,AC$16,$AA18,$AQ18,$AP18,"Total Products","EBITDA LTM","Value")</f>
        <v>RECALC_1_17_</v>
      </c>
      <c r="AD18" s="328"/>
      <c r="AE18" s="329"/>
      <c r="AF18" s="274"/>
      <c r="AG18" s="274"/>
      <c r="AH18" s="274"/>
      <c r="AI18" s="275"/>
      <c r="AJ18" s="330" t="str">
        <f ca="1">_xll.DBRW($A$3,$A$10,AJ$16,$AA18,$AQ18,$AP18,"Total Products","EBITDA LTM","Value")</f>
        <v>RECALC_1_12_</v>
      </c>
      <c r="AK18" s="331"/>
      <c r="AL18" s="332"/>
      <c r="AM18" s="333"/>
      <c r="AN18" s="331"/>
      <c r="AO18" s="332"/>
      <c r="AP18" s="270" t="s">
        <v>22</v>
      </c>
      <c r="AQ18" s="270" t="s">
        <v>282</v>
      </c>
      <c r="AR18" s="287"/>
      <c r="AS18" s="334" t="s">
        <v>227</v>
      </c>
      <c r="AT18" s="335"/>
      <c r="AU18" s="335"/>
      <c r="AV18" s="335"/>
      <c r="AW18" s="335"/>
      <c r="AX18" s="335"/>
      <c r="AY18" s="277"/>
      <c r="AZ18" s="352" t="str">
        <f ca="1">_xll.DBRW($A$3,$A$10,AZ$16,$BX18,$BT18,$BV18,$BZ18,"EBITDA LTM","Value")</f>
        <v>RECALC_1_91_</v>
      </c>
      <c r="BA18" s="328"/>
      <c r="BB18" s="328"/>
      <c r="BC18" s="277"/>
      <c r="BD18" s="328" t="str">
        <f ca="1">_xll.DBRW($A$3,$A$10,BD$16,$BX18,$BT18,$BV18,$BZ18,"EBITDA LTM","Value")</f>
        <v>RECALC_1_100_</v>
      </c>
      <c r="BE18" s="328"/>
      <c r="BF18" s="329"/>
      <c r="BG18" s="290"/>
      <c r="BH18" s="290"/>
      <c r="BI18" s="290"/>
      <c r="BJ18" s="290"/>
      <c r="BK18" s="290"/>
      <c r="BL18" s="290"/>
      <c r="BM18" s="290"/>
      <c r="BN18" s="290"/>
      <c r="BO18" s="290"/>
      <c r="BP18" s="290"/>
      <c r="BQ18" s="291"/>
      <c r="BR18" s="221"/>
      <c r="BT18" t="s">
        <v>282</v>
      </c>
      <c r="BV18" t="s">
        <v>22</v>
      </c>
      <c r="BX18" t="s">
        <v>34</v>
      </c>
      <c r="BZ18" t="s">
        <v>259</v>
      </c>
    </row>
    <row r="19" spans="1:88">
      <c r="A19" s="2" t="s">
        <v>12</v>
      </c>
      <c r="E19" s="148"/>
      <c r="F19" s="270"/>
      <c r="G19" s="270"/>
      <c r="H19" s="270"/>
      <c r="I19" s="270"/>
      <c r="J19" s="270"/>
      <c r="K19" s="270"/>
      <c r="L19" s="270"/>
      <c r="M19" s="270"/>
      <c r="N19" s="270"/>
      <c r="O19" s="292"/>
      <c r="P19" s="270"/>
      <c r="Q19" s="270"/>
      <c r="R19" s="341" t="str">
        <f ca="1">$A$13</f>
        <v>RECALC_0_9_</v>
      </c>
      <c r="S19" s="341"/>
      <c r="T19" s="341"/>
      <c r="U19" s="270"/>
      <c r="V19" s="341" t="str">
        <f ca="1">$A$14</f>
        <v>RECALC_0_10_</v>
      </c>
      <c r="W19" s="341"/>
      <c r="X19" s="341"/>
      <c r="Y19" s="292"/>
      <c r="Z19" s="270"/>
      <c r="AA19" s="270" t="str">
        <f ca="1">'Value Tree 1'!$F$5</f>
        <v>RECALC_0_4_</v>
      </c>
      <c r="AB19" s="285"/>
      <c r="AC19" s="340" t="str">
        <f ca="1">_xll.DBRW($A$3,$A$10,AC$16,$AA19,$AQ19,$AP19,"Total Products","EBITDA LTM","Value")</f>
        <v>RECALC_1_16_</v>
      </c>
      <c r="AD19" s="341"/>
      <c r="AE19" s="342"/>
      <c r="AF19" s="340"/>
      <c r="AG19" s="341"/>
      <c r="AH19" s="341"/>
      <c r="AI19" s="286"/>
      <c r="AJ19" s="340" t="str">
        <f ca="1">_xll.DBRW($A$3,$A$10,AJ$16,$AA19,$AQ19,$AP19,"Total Products","EBITDA LTM","Value")</f>
        <v>RECALC_1_13_</v>
      </c>
      <c r="AK19" s="341"/>
      <c r="AL19" s="342"/>
      <c r="AM19" s="343"/>
      <c r="AN19" s="341"/>
      <c r="AO19" s="342"/>
      <c r="AP19" s="294" t="s">
        <v>22</v>
      </c>
      <c r="AQ19" s="270" t="s">
        <v>282</v>
      </c>
      <c r="AR19" s="296"/>
      <c r="AS19" s="344" t="s">
        <v>228</v>
      </c>
      <c r="AT19" s="345"/>
      <c r="AU19" s="345"/>
      <c r="AV19" s="345"/>
      <c r="AW19" s="345"/>
      <c r="AX19" s="345"/>
      <c r="AY19" s="305"/>
      <c r="AZ19" s="354" t="str">
        <f ca="1">_xll.DBRW($A$3,$A$10,AZ$16,$BX19,$BT19,$BV19,$BZ19,"EBITDA LTM","Value")</f>
        <v>RECALC_1_66_</v>
      </c>
      <c r="BA19" s="336"/>
      <c r="BB19" s="336"/>
      <c r="BC19" s="305"/>
      <c r="BD19" s="336" t="str">
        <f ca="1">_xll.DBRW($A$3,$A$10,BD$16,$BX19,$BT19,$BV19,$BZ19,"EBITDA LTM","Value")</f>
        <v>RECALC_1_56_</v>
      </c>
      <c r="BE19" s="336"/>
      <c r="BF19" s="337"/>
      <c r="BG19" s="290"/>
      <c r="BH19" s="290"/>
      <c r="BI19" s="290"/>
      <c r="BJ19" s="290"/>
      <c r="BK19" s="290"/>
      <c r="BL19" s="290"/>
      <c r="BM19" s="290"/>
      <c r="BN19" s="290"/>
      <c r="BO19" s="290"/>
      <c r="BP19" s="290"/>
      <c r="BQ19" s="291"/>
      <c r="BR19" s="221"/>
      <c r="BT19" t="s">
        <v>282</v>
      </c>
      <c r="BV19" t="s">
        <v>22</v>
      </c>
      <c r="BX19" t="s">
        <v>34</v>
      </c>
      <c r="BZ19" t="s">
        <v>258</v>
      </c>
    </row>
    <row r="20" spans="1:88">
      <c r="A20" t="str">
        <f ca="1">_xll.SUBNM("CONS_VC:ALL.D.Currency","","BRL")</f>
        <v>RECALC_0_8_</v>
      </c>
      <c r="E20" s="148"/>
      <c r="F20" s="270"/>
      <c r="G20" s="270"/>
      <c r="H20" s="270"/>
      <c r="I20" s="270"/>
      <c r="J20" s="270"/>
      <c r="K20" s="270"/>
      <c r="L20" s="270"/>
      <c r="M20" s="270"/>
      <c r="N20" s="270"/>
      <c r="O20" s="292"/>
      <c r="P20" s="270"/>
      <c r="Q20" s="321" t="s">
        <v>250</v>
      </c>
      <c r="R20" s="322"/>
      <c r="S20" s="322"/>
      <c r="T20" s="322"/>
      <c r="U20" s="322"/>
      <c r="V20" s="322"/>
      <c r="W20" s="322"/>
      <c r="X20" s="323"/>
      <c r="Y20" s="292"/>
      <c r="Z20" s="270"/>
      <c r="AA20" s="270"/>
      <c r="AB20" s="321" t="s">
        <v>244</v>
      </c>
      <c r="AC20" s="322"/>
      <c r="AD20" s="322"/>
      <c r="AE20" s="322"/>
      <c r="AF20" s="322"/>
      <c r="AG20" s="322"/>
      <c r="AH20" s="322"/>
      <c r="AI20" s="322"/>
      <c r="AJ20" s="322"/>
      <c r="AK20" s="322"/>
      <c r="AL20" s="322"/>
      <c r="AM20" s="322"/>
      <c r="AN20" s="322"/>
      <c r="AO20" s="323"/>
      <c r="AP20" s="270"/>
      <c r="AQ20" s="270"/>
      <c r="AR20" s="287"/>
      <c r="AS20" s="338" t="s">
        <v>229</v>
      </c>
      <c r="AT20" s="339"/>
      <c r="AU20" s="339"/>
      <c r="AV20" s="339"/>
      <c r="AW20" s="339"/>
      <c r="AX20" s="339"/>
      <c r="AY20" s="305"/>
      <c r="AZ20" s="353" t="str">
        <f ca="1">_xll.DBRW($A$3,$A$10,AZ$16,$BX20,$BT20,$BV20,$BZ20,"EBITDA LTM","Value")</f>
        <v>RECALC_1_104_</v>
      </c>
      <c r="BA20" s="331"/>
      <c r="BB20" s="331"/>
      <c r="BC20" s="305"/>
      <c r="BD20" s="331" t="str">
        <f ca="1">_xll.DBRW($A$3,$A$10,BD$16,$BX20,$BT20,$BV20,$BZ20,"EBITDA LTM","Value")</f>
        <v>RECALC_1_60_</v>
      </c>
      <c r="BE20" s="331"/>
      <c r="BF20" s="332"/>
      <c r="BG20" s="290"/>
      <c r="BH20" s="290"/>
      <c r="BI20" s="290"/>
      <c r="BJ20" s="290"/>
      <c r="BK20" s="290"/>
      <c r="BL20" s="290"/>
      <c r="BM20" s="290"/>
      <c r="BN20" s="290"/>
      <c r="BO20" s="290"/>
      <c r="BP20" s="290"/>
      <c r="BQ20" s="291"/>
      <c r="BR20" s="221"/>
      <c r="BT20" t="s">
        <v>282</v>
      </c>
      <c r="BV20" t="s">
        <v>22</v>
      </c>
      <c r="BX20" t="s">
        <v>34</v>
      </c>
      <c r="BZ20" t="s">
        <v>260</v>
      </c>
    </row>
    <row r="21" spans="1:88">
      <c r="E21" s="148"/>
      <c r="F21" s="270"/>
      <c r="G21" s="270"/>
      <c r="H21" s="270"/>
      <c r="I21" s="270"/>
      <c r="J21" s="270"/>
      <c r="K21" s="270"/>
      <c r="L21" s="270"/>
      <c r="M21" s="270"/>
      <c r="N21" s="270"/>
      <c r="O21" s="292"/>
      <c r="P21" s="284" t="str">
        <f ca="1">'Value Tree 1'!$F$4</f>
        <v>RECALC_0_5_</v>
      </c>
      <c r="Q21" s="271"/>
      <c r="R21" s="327" t="str">
        <f ca="1">_xll.DBRW(A5,A10,R19,P21,A20,A23,"Expansion Capex",A39)</f>
        <v>RECALC_1_69_</v>
      </c>
      <c r="S21" s="328"/>
      <c r="T21" s="328"/>
      <c r="U21" s="306"/>
      <c r="V21" s="327" t="str">
        <f ca="1">_xll.DBRW(A5,A10,V19,P21,A20,A23,"Expansion Capex",A39)</f>
        <v>RECALC_1_49_</v>
      </c>
      <c r="W21" s="328"/>
      <c r="X21" s="329"/>
      <c r="Y21" s="292"/>
      <c r="Z21" s="270"/>
      <c r="AA21" s="270" t="str">
        <f ca="1">'Value Tree 1'!$F$4</f>
        <v>RECALC_0_5_</v>
      </c>
      <c r="AB21" s="273"/>
      <c r="AC21" s="330"/>
      <c r="AD21" s="331"/>
      <c r="AE21" s="332"/>
      <c r="AF21" s="274"/>
      <c r="AG21" s="274"/>
      <c r="AH21" s="274"/>
      <c r="AI21" s="275"/>
      <c r="AJ21" s="330"/>
      <c r="AK21" s="331"/>
      <c r="AL21" s="332"/>
      <c r="AM21" s="333"/>
      <c r="AN21" s="331"/>
      <c r="AO21" s="332"/>
      <c r="AP21" s="270" t="s">
        <v>22</v>
      </c>
      <c r="AQ21" s="270" t="s">
        <v>282</v>
      </c>
      <c r="AR21" s="287"/>
      <c r="AS21" s="358" t="s">
        <v>235</v>
      </c>
      <c r="AT21" s="359"/>
      <c r="AU21" s="359"/>
      <c r="AV21" s="359"/>
      <c r="AW21" s="359"/>
      <c r="AX21" s="359"/>
      <c r="AY21" s="301"/>
      <c r="AZ21" s="341" t="str">
        <f ca="1">_xll.DBRW($A$3,$A$10,AZ$16,$BX21,$BT21,$BV21,$BZ21,"EBITDA LTM","Value")</f>
        <v>RECALC_1_68_</v>
      </c>
      <c r="BA21" s="341"/>
      <c r="BB21" s="341"/>
      <c r="BC21" s="301"/>
      <c r="BD21" s="341" t="str">
        <f ca="1">_xll.DBRW($A$3,$A$10,BD$16,$BX21,$BT21,$BV21,$BZ21,"EBITDA LTM","Value")</f>
        <v>RECALC_1_63_</v>
      </c>
      <c r="BE21" s="341"/>
      <c r="BF21" s="342"/>
      <c r="BG21" s="290"/>
      <c r="BH21" s="290"/>
      <c r="BI21" s="290"/>
      <c r="BJ21" s="290"/>
      <c r="BK21" s="290"/>
      <c r="BL21" s="290"/>
      <c r="BM21" s="290"/>
      <c r="BN21" s="290"/>
      <c r="BO21" s="290"/>
      <c r="BP21" s="290"/>
      <c r="BQ21" s="291"/>
      <c r="BR21" s="221"/>
      <c r="BT21" t="s">
        <v>282</v>
      </c>
      <c r="BV21" t="s">
        <v>22</v>
      </c>
      <c r="BX21" t="s">
        <v>34</v>
      </c>
      <c r="BZ21" t="s">
        <v>265</v>
      </c>
    </row>
    <row r="22" spans="1:88">
      <c r="A22" s="2" t="s">
        <v>13</v>
      </c>
      <c r="E22" s="148"/>
      <c r="F22" s="270"/>
      <c r="G22" s="270"/>
      <c r="H22" s="270"/>
      <c r="I22" s="270"/>
      <c r="J22" s="270"/>
      <c r="K22" s="270"/>
      <c r="L22" s="270"/>
      <c r="M22" s="270"/>
      <c r="N22" s="270"/>
      <c r="O22" s="292"/>
      <c r="P22" s="270" t="str">
        <f ca="1">'Value Tree 1'!$F$5</f>
        <v>RECALC_0_4_</v>
      </c>
      <c r="Q22" s="281"/>
      <c r="R22" s="340" t="str">
        <f ca="1">_xll.DBRW(A5,A10,R19,P22,A20,A23,"Expansion Capex",A39)</f>
        <v>RECALC_1_90_</v>
      </c>
      <c r="S22" s="341"/>
      <c r="T22" s="341"/>
      <c r="U22" s="307"/>
      <c r="V22" s="340" t="str">
        <f ca="1">_xll.DBRW(A5,A10,V19,P22,A20,A23,"Expansion Capex",A39)</f>
        <v>RECALC_1_126_</v>
      </c>
      <c r="W22" s="341"/>
      <c r="X22" s="342"/>
      <c r="Y22" s="292"/>
      <c r="Z22" s="270"/>
      <c r="AA22" s="270" t="str">
        <f ca="1">'Value Tree 1'!$F$5</f>
        <v>RECALC_0_4_</v>
      </c>
      <c r="AB22" s="285"/>
      <c r="AC22" s="340"/>
      <c r="AD22" s="341"/>
      <c r="AE22" s="342"/>
      <c r="AF22" s="340"/>
      <c r="AG22" s="341"/>
      <c r="AH22" s="341"/>
      <c r="AI22" s="286"/>
      <c r="AJ22" s="340"/>
      <c r="AK22" s="341"/>
      <c r="AL22" s="342"/>
      <c r="AM22" s="343"/>
      <c r="AN22" s="341"/>
      <c r="AO22" s="342"/>
      <c r="AP22" s="270" t="s">
        <v>22</v>
      </c>
      <c r="AQ22" s="270" t="s">
        <v>282</v>
      </c>
      <c r="AR22" s="287"/>
      <c r="AS22" s="290"/>
      <c r="AT22" s="290"/>
      <c r="AU22" s="290"/>
      <c r="AV22" s="290"/>
      <c r="AW22" s="290"/>
      <c r="AX22" s="290"/>
      <c r="AY22" s="290"/>
      <c r="AZ22" s="290"/>
      <c r="BA22" s="290"/>
      <c r="BB22" s="290"/>
      <c r="BC22" s="290"/>
      <c r="BD22" s="290"/>
      <c r="BE22" s="290"/>
      <c r="BF22" s="290"/>
      <c r="BG22" s="290"/>
      <c r="BH22" s="290"/>
      <c r="BI22" s="290"/>
      <c r="BJ22" s="290"/>
      <c r="BK22" s="290"/>
      <c r="BL22" s="290"/>
      <c r="BM22" s="290"/>
      <c r="BN22" s="290"/>
      <c r="BO22" s="290"/>
      <c r="BP22" s="290"/>
      <c r="BQ22" s="291"/>
      <c r="BR22" s="221"/>
    </row>
    <row r="23" spans="1:88">
      <c r="A23" s="450" t="str">
        <f ca="1">_xll.SUBNM("CONS_VC:ALL.D.Region","DEFAuLT","Global")</f>
        <v>RECALC_0_3_</v>
      </c>
      <c r="E23" s="148"/>
      <c r="F23" s="270"/>
      <c r="G23" s="341" t="str">
        <f ca="1">$A$13</f>
        <v>RECALC_0_9_</v>
      </c>
      <c r="H23" s="341"/>
      <c r="I23" s="341"/>
      <c r="J23" s="270"/>
      <c r="K23" s="341" t="str">
        <f ca="1">$A$14</f>
        <v>RECALC_0_10_</v>
      </c>
      <c r="L23" s="341"/>
      <c r="M23" s="341"/>
      <c r="N23" s="270"/>
      <c r="O23" s="292"/>
      <c r="P23" s="270"/>
      <c r="Q23" s="270"/>
      <c r="R23" s="341" t="str">
        <f ca="1">$A$13</f>
        <v>RECALC_0_9_</v>
      </c>
      <c r="S23" s="341"/>
      <c r="T23" s="341"/>
      <c r="U23" s="270"/>
      <c r="V23" s="341" t="str">
        <f ca="1">$A$14</f>
        <v>RECALC_0_10_</v>
      </c>
      <c r="W23" s="341"/>
      <c r="X23" s="341"/>
      <c r="Y23" s="292"/>
      <c r="Z23" s="270"/>
      <c r="AA23" s="270"/>
      <c r="AB23" s="270"/>
      <c r="AC23" s="270"/>
      <c r="AD23" s="270"/>
      <c r="AE23" s="270"/>
      <c r="AF23" s="270"/>
      <c r="AG23" s="270"/>
      <c r="AH23" s="270"/>
      <c r="AI23" s="270"/>
      <c r="AJ23" s="270"/>
      <c r="AK23" s="270"/>
      <c r="AL23" s="270"/>
      <c r="AM23" s="270"/>
      <c r="AN23" s="270"/>
      <c r="AO23" s="270"/>
      <c r="AP23" s="270"/>
      <c r="AQ23" s="270"/>
      <c r="AR23" s="287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0"/>
      <c r="BK23" s="290"/>
      <c r="BL23" s="290"/>
      <c r="BM23" s="290"/>
      <c r="BN23" s="290"/>
      <c r="BO23" s="290"/>
      <c r="BP23" s="290"/>
      <c r="BQ23" s="291"/>
      <c r="BR23" s="221"/>
    </row>
    <row r="24" spans="1:88">
      <c r="E24" s="148"/>
      <c r="F24" s="321" t="s">
        <v>254</v>
      </c>
      <c r="G24" s="322"/>
      <c r="H24" s="322"/>
      <c r="I24" s="322"/>
      <c r="J24" s="322"/>
      <c r="K24" s="322"/>
      <c r="L24" s="322"/>
      <c r="M24" s="323"/>
      <c r="N24" s="270"/>
      <c r="O24" s="292"/>
      <c r="P24" s="270"/>
      <c r="Q24" s="321" t="s">
        <v>251</v>
      </c>
      <c r="R24" s="322"/>
      <c r="S24" s="322"/>
      <c r="T24" s="322"/>
      <c r="U24" s="322"/>
      <c r="V24" s="322"/>
      <c r="W24" s="322"/>
      <c r="X24" s="323"/>
      <c r="Y24" s="292"/>
      <c r="Z24" s="270"/>
      <c r="AA24" s="270"/>
      <c r="AB24" s="270"/>
      <c r="AC24" s="361" t="str">
        <f ca="1">$A$13</f>
        <v>RECALC_0_9_</v>
      </c>
      <c r="AD24" s="361"/>
      <c r="AE24" s="361"/>
      <c r="AF24" s="361" t="str">
        <f ca="1">$A$13</f>
        <v>RECALC_0_9_</v>
      </c>
      <c r="AG24" s="361"/>
      <c r="AH24" s="361"/>
      <c r="AI24" s="270"/>
      <c r="AJ24" s="361" t="s">
        <v>67</v>
      </c>
      <c r="AK24" s="361"/>
      <c r="AL24" s="361"/>
      <c r="AM24" s="361" t="s">
        <v>67</v>
      </c>
      <c r="AN24" s="361"/>
      <c r="AO24" s="361"/>
      <c r="AP24" s="270"/>
      <c r="AQ24" s="270"/>
      <c r="AR24" s="287"/>
      <c r="AS24" s="290"/>
      <c r="AT24" s="290"/>
      <c r="AU24" s="290"/>
      <c r="AV24" s="290"/>
      <c r="AW24" s="290"/>
      <c r="AX24" s="290"/>
      <c r="AY24" s="290"/>
      <c r="AZ24" s="365" t="str">
        <f ca="1">$A$13</f>
        <v>RECALC_0_9_</v>
      </c>
      <c r="BA24" s="365"/>
      <c r="BB24" s="365"/>
      <c r="BC24" s="290"/>
      <c r="BD24" s="365" t="str">
        <f ca="1">$A$14</f>
        <v>RECALC_0_10_</v>
      </c>
      <c r="BE24" s="365"/>
      <c r="BF24" s="365"/>
      <c r="BG24" s="290"/>
      <c r="BH24" s="290"/>
      <c r="BI24" s="365" t="str">
        <f ca="1">$A$13</f>
        <v>RECALC_0_9_</v>
      </c>
      <c r="BJ24" s="365"/>
      <c r="BK24" s="365"/>
      <c r="BL24" s="290"/>
      <c r="BM24" s="365" t="str">
        <f ca="1">$A$14</f>
        <v>RECALC_0_10_</v>
      </c>
      <c r="BN24" s="365"/>
      <c r="BO24" s="365"/>
      <c r="BP24" s="290"/>
      <c r="BQ24" s="291"/>
      <c r="BR24" s="221"/>
    </row>
    <row r="25" spans="1:88">
      <c r="A25" s="2" t="s">
        <v>14</v>
      </c>
      <c r="E25" s="148" t="str">
        <f ca="1">'Value Tree 1'!$F$4</f>
        <v>RECALC_0_5_</v>
      </c>
      <c r="F25" s="271"/>
      <c r="G25" s="327" t="str">
        <f ca="1">_xll.DBRW('Value Tree TESTE'!A5,A10,G23,E25,A20,A23,A32,'Value Tree TESTE'!A39)</f>
        <v>RECALC_1_96_</v>
      </c>
      <c r="H25" s="328"/>
      <c r="I25" s="328"/>
      <c r="J25" s="272"/>
      <c r="K25" s="327" t="str">
        <f ca="1">_xll.DBRW('Value Tree TESTE'!A5,A10,K23,E25,A20,A23,A32,'Value Tree TESTE'!A39)</f>
        <v>RECALC_1_125_</v>
      </c>
      <c r="L25" s="328"/>
      <c r="M25" s="329"/>
      <c r="N25" s="270"/>
      <c r="O25" s="292"/>
      <c r="P25" s="270" t="str">
        <f ca="1">'Value Tree 1'!$F$4</f>
        <v>RECALC_0_5_</v>
      </c>
      <c r="Q25" s="299"/>
      <c r="R25" s="327" t="str">
        <f ca="1">_xll.DBRW(A3,A10,R23,P25,A20,A23,"Total Products","Working Capital Balance","Value")</f>
        <v>RECALC_1_38_</v>
      </c>
      <c r="S25" s="328"/>
      <c r="T25" s="328"/>
      <c r="U25" s="272"/>
      <c r="V25" s="327" t="str">
        <f ca="1">_xll.DBRW(A3,A10,V23,P25,A20,A23,"Total Products","Working Capital Balance","Value")</f>
        <v>RECALC_1_54_</v>
      </c>
      <c r="W25" s="328"/>
      <c r="X25" s="329"/>
      <c r="Y25" s="292"/>
      <c r="Z25" s="270"/>
      <c r="AA25" s="270"/>
      <c r="AB25" s="321" t="s">
        <v>243</v>
      </c>
      <c r="AC25" s="322"/>
      <c r="AD25" s="322"/>
      <c r="AE25" s="322"/>
      <c r="AF25" s="322"/>
      <c r="AG25" s="322"/>
      <c r="AH25" s="322"/>
      <c r="AI25" s="322"/>
      <c r="AJ25" s="322"/>
      <c r="AK25" s="322"/>
      <c r="AL25" s="322"/>
      <c r="AM25" s="322"/>
      <c r="AN25" s="322"/>
      <c r="AO25" s="323"/>
      <c r="AP25" s="270"/>
      <c r="AQ25" s="270"/>
      <c r="AR25" s="287"/>
      <c r="AS25" s="324" t="s">
        <v>267</v>
      </c>
      <c r="AT25" s="325"/>
      <c r="AU25" s="325"/>
      <c r="AV25" s="325"/>
      <c r="AW25" s="325"/>
      <c r="AX25" s="325"/>
      <c r="AY25" s="325"/>
      <c r="AZ25" s="325"/>
      <c r="BA25" s="325"/>
      <c r="BB25" s="325"/>
      <c r="BC25" s="325"/>
      <c r="BD25" s="325"/>
      <c r="BE25" s="325"/>
      <c r="BF25" s="326"/>
      <c r="BG25" s="290"/>
      <c r="BH25" s="321" t="s">
        <v>268</v>
      </c>
      <c r="BI25" s="322"/>
      <c r="BJ25" s="322"/>
      <c r="BK25" s="322"/>
      <c r="BL25" s="322"/>
      <c r="BM25" s="322"/>
      <c r="BN25" s="322"/>
      <c r="BO25" s="323"/>
      <c r="BP25" s="308"/>
      <c r="BQ25" s="291"/>
      <c r="BR25" s="221"/>
    </row>
    <row r="26" spans="1:88">
      <c r="A26" t="str">
        <f ca="1">_xll.SUBNM("CONS_VC:ALL.D.Products","","Total Products")</f>
        <v>RECALC_0_11_</v>
      </c>
      <c r="E26" s="148" t="str">
        <f ca="1">'Value Tree 1'!$F$5</f>
        <v>RECALC_0_4_</v>
      </c>
      <c r="F26" s="281"/>
      <c r="G26" s="340" t="str">
        <f ca="1">_xll.DBRW('Value Tree TESTE'!A5,A10,G23,E26,A20,A23,A32,'Value Tree TESTE'!A39)</f>
        <v>RECALC_1_51_</v>
      </c>
      <c r="H26" s="341"/>
      <c r="I26" s="341"/>
      <c r="J26" s="282"/>
      <c r="K26" s="340" t="str">
        <f ca="1">_xll.DBRW('Value Tree TESTE'!A5,A10,K23,E26,A20,A23,A32,'Value Tree TESTE'!A39)</f>
        <v>RECALC_1_40_</v>
      </c>
      <c r="L26" s="341"/>
      <c r="M26" s="342"/>
      <c r="N26" s="297"/>
      <c r="O26" s="284"/>
      <c r="P26" s="284" t="str">
        <f ca="1">'Value Tree 1'!$F$5</f>
        <v>RECALC_0_4_</v>
      </c>
      <c r="Q26" s="303"/>
      <c r="R26" s="340" t="str">
        <f ca="1">_xll.DBRW(A3,A10,R23,P26,A20,A23,"Total Products","Working Capital Balance","Value")</f>
        <v>RECALC_1_64_</v>
      </c>
      <c r="S26" s="341"/>
      <c r="T26" s="341"/>
      <c r="U26" s="282"/>
      <c r="V26" s="340" t="str">
        <f ca="1">_xll.DBRW(A3,A10,V23,P26,A20,A23,"Total Products","Working Capital Balance","Value")</f>
        <v>RECALC_1_46_</v>
      </c>
      <c r="W26" s="341"/>
      <c r="X26" s="342"/>
      <c r="Y26" s="292"/>
      <c r="Z26" s="283"/>
      <c r="AA26" s="284" t="str">
        <f ca="1">'Value Tree 1'!$F$4</f>
        <v>RECALC_0_5_</v>
      </c>
      <c r="AB26" s="271"/>
      <c r="AC26" s="330"/>
      <c r="AD26" s="331"/>
      <c r="AE26" s="332"/>
      <c r="AF26" s="274"/>
      <c r="AG26" s="274"/>
      <c r="AH26" s="274"/>
      <c r="AI26" s="306"/>
      <c r="AJ26" s="330"/>
      <c r="AK26" s="331"/>
      <c r="AL26" s="332"/>
      <c r="AM26" s="333"/>
      <c r="AN26" s="331"/>
      <c r="AO26" s="332"/>
      <c r="AP26" s="270" t="s">
        <v>36</v>
      </c>
      <c r="AQ26" t="s">
        <v>284</v>
      </c>
      <c r="AR26" s="287"/>
      <c r="AS26" s="334" t="s">
        <v>236</v>
      </c>
      <c r="AT26" s="335"/>
      <c r="AU26" s="335"/>
      <c r="AV26" s="335"/>
      <c r="AW26" s="335"/>
      <c r="AX26" s="335"/>
      <c r="AY26" s="278"/>
      <c r="AZ26" s="352" t="str">
        <f ca="1">_xll.DBRW($A$3,$A$10,AZ$24,$BX26,$BT26,$BV26,$BZ26,"EBITDA LTM","Value")</f>
        <v>RECALC_1_50_</v>
      </c>
      <c r="BA26" s="328"/>
      <c r="BB26" s="328"/>
      <c r="BC26" s="278"/>
      <c r="BD26" s="328" t="str">
        <f ca="1">_xll.DBRW($A$3,$A$10,BD$24,$BX26,$BT26,$BV26,$BZ26,"EBITDA LTM","Value")</f>
        <v>RECALC_1_42_</v>
      </c>
      <c r="BE26" s="328"/>
      <c r="BF26" s="329"/>
      <c r="BG26" s="290"/>
      <c r="BH26" s="309"/>
      <c r="BI26" s="352" t="str">
        <f ca="1">_xll.DBRW($A$3,$A$10,BI$24,$CH26,$CD26,$CF26,$CJ26,"EBITDA LTM","Value")</f>
        <v>RECALC_1_86_</v>
      </c>
      <c r="BJ26" s="328"/>
      <c r="BK26" s="328"/>
      <c r="BL26" s="278"/>
      <c r="BM26" s="352" t="str">
        <f ca="1">_xll.DBRW($A$3,$A$10,BM$24,$CH26,$CD26,$CF26,$CJ26,"EBITDA LTM","Value")</f>
        <v>RECALC_1_28_</v>
      </c>
      <c r="BN26" s="328"/>
      <c r="BO26" s="329"/>
      <c r="BP26" s="290"/>
      <c r="BQ26" s="291"/>
      <c r="BR26" s="221"/>
      <c r="BT26" t="s">
        <v>284</v>
      </c>
      <c r="BV26" t="s">
        <v>36</v>
      </c>
      <c r="BX26" t="s">
        <v>34</v>
      </c>
      <c r="BZ26" t="s">
        <v>266</v>
      </c>
      <c r="CD26" t="s">
        <v>221</v>
      </c>
      <c r="CF26" t="s">
        <v>36</v>
      </c>
      <c r="CH26" t="s">
        <v>34</v>
      </c>
      <c r="CJ26" t="s">
        <v>266</v>
      </c>
    </row>
    <row r="27" spans="1:88">
      <c r="E27" s="148"/>
      <c r="F27" s="270"/>
      <c r="G27" s="341" t="str">
        <f ca="1">$A$13</f>
        <v>RECALC_0_9_</v>
      </c>
      <c r="H27" s="341"/>
      <c r="I27" s="341"/>
      <c r="J27" s="270"/>
      <c r="K27" s="341" t="str">
        <f ca="1">$A$14</f>
        <v>RECALC_0_10_</v>
      </c>
      <c r="L27" s="341"/>
      <c r="M27" s="341"/>
      <c r="N27" s="270"/>
      <c r="O27" s="292"/>
      <c r="P27" s="270"/>
      <c r="Q27" s="270"/>
      <c r="R27" s="341" t="str">
        <f ca="1">$A$13</f>
        <v>RECALC_0_9_</v>
      </c>
      <c r="S27" s="341"/>
      <c r="T27" s="341"/>
      <c r="U27" s="270"/>
      <c r="V27" s="341" t="str">
        <f ca="1">$A$14</f>
        <v>RECALC_0_10_</v>
      </c>
      <c r="W27" s="341"/>
      <c r="X27" s="341"/>
      <c r="Y27" s="292"/>
      <c r="Z27" s="270"/>
      <c r="AA27" s="270" t="str">
        <f ca="1">'Value Tree 1'!$F$5</f>
        <v>RECALC_0_4_</v>
      </c>
      <c r="AB27" s="281"/>
      <c r="AC27" s="340"/>
      <c r="AD27" s="341"/>
      <c r="AE27" s="342"/>
      <c r="AF27" s="340"/>
      <c r="AG27" s="341"/>
      <c r="AH27" s="341"/>
      <c r="AI27" s="307"/>
      <c r="AJ27" s="340"/>
      <c r="AK27" s="341"/>
      <c r="AL27" s="342"/>
      <c r="AM27" s="343"/>
      <c r="AN27" s="341"/>
      <c r="AO27" s="342"/>
      <c r="AP27" s="294" t="s">
        <v>36</v>
      </c>
      <c r="AQ27" t="s">
        <v>284</v>
      </c>
      <c r="AR27" s="296"/>
      <c r="AS27" s="344" t="s">
        <v>237</v>
      </c>
      <c r="AT27" s="345"/>
      <c r="AU27" s="345"/>
      <c r="AV27" s="345"/>
      <c r="AW27" s="345"/>
      <c r="AX27" s="345"/>
      <c r="AY27" s="305"/>
      <c r="AZ27" s="354" t="str">
        <f ca="1">_xll.DBRW($A$3,$A$10,AZ$24,$BX27,$BT27,$BV27,$BZ27,"EBITDA LTM","Value")</f>
        <v>RECALC_1_50_</v>
      </c>
      <c r="BA27" s="336"/>
      <c r="BB27" s="336"/>
      <c r="BC27" s="305"/>
      <c r="BD27" s="336" t="str">
        <f ca="1">_xll.DBRW($A$3,$A$10,BD$24,$BX27,$BT27,$BV27,$BZ27,"EBITDA LTM","Value")</f>
        <v>RECALC_1_42_</v>
      </c>
      <c r="BE27" s="336"/>
      <c r="BF27" s="337"/>
      <c r="BG27" s="310"/>
      <c r="BH27" s="311"/>
      <c r="BI27" s="354" t="str">
        <f ca="1">_xll.DBRW($A$3,$A$10,BI$24,$CH27,$CD27,$CF27,$CJ27,"EBITDA LTM","Value")</f>
        <v>RECALC_1_35_</v>
      </c>
      <c r="BJ27" s="336"/>
      <c r="BK27" s="336"/>
      <c r="BL27" s="288"/>
      <c r="BM27" s="354" t="str">
        <f ca="1">_xll.DBRW($A$3,$A$10,BM$24,$CH27,$CD27,$CF27,$CJ27,"EBITDA LTM","Value")</f>
        <v>RECALC_1_26_</v>
      </c>
      <c r="BN27" s="336"/>
      <c r="BO27" s="337"/>
      <c r="BP27" s="290"/>
      <c r="BQ27" s="291"/>
      <c r="BR27" s="221"/>
      <c r="BT27" t="s">
        <v>284</v>
      </c>
      <c r="BV27" t="s">
        <v>36</v>
      </c>
      <c r="BX27" t="s">
        <v>34</v>
      </c>
      <c r="BZ27" t="s">
        <v>266</v>
      </c>
      <c r="CD27" t="s">
        <v>224</v>
      </c>
      <c r="CF27" t="s">
        <v>36</v>
      </c>
      <c r="CH27" t="s">
        <v>34</v>
      </c>
      <c r="CJ27" t="s">
        <v>266</v>
      </c>
    </row>
    <row r="28" spans="1:88">
      <c r="A28" s="2" t="s">
        <v>15</v>
      </c>
      <c r="E28" s="148"/>
      <c r="F28" s="321" t="s">
        <v>102</v>
      </c>
      <c r="G28" s="322"/>
      <c r="H28" s="322"/>
      <c r="I28" s="322"/>
      <c r="J28" s="322"/>
      <c r="K28" s="322"/>
      <c r="L28" s="322"/>
      <c r="M28" s="323"/>
      <c r="N28" s="270"/>
      <c r="O28" s="292"/>
      <c r="P28" s="270"/>
      <c r="Q28" s="321" t="s">
        <v>252</v>
      </c>
      <c r="R28" s="322"/>
      <c r="S28" s="322"/>
      <c r="T28" s="322"/>
      <c r="U28" s="322"/>
      <c r="V28" s="322"/>
      <c r="W28" s="322"/>
      <c r="X28" s="323"/>
      <c r="Y28" s="292"/>
      <c r="Z28" s="270"/>
      <c r="AA28" s="270"/>
      <c r="AB28" s="321" t="s">
        <v>242</v>
      </c>
      <c r="AC28" s="322"/>
      <c r="AD28" s="322"/>
      <c r="AE28" s="322"/>
      <c r="AF28" s="322"/>
      <c r="AG28" s="322"/>
      <c r="AH28" s="322"/>
      <c r="AI28" s="322"/>
      <c r="AJ28" s="322"/>
      <c r="AK28" s="322"/>
      <c r="AL28" s="322"/>
      <c r="AM28" s="322"/>
      <c r="AN28" s="322"/>
      <c r="AO28" s="323"/>
      <c r="AP28" s="270"/>
      <c r="AQ28" s="270"/>
      <c r="AR28" s="287"/>
      <c r="AS28" s="348" t="s">
        <v>235</v>
      </c>
      <c r="AT28" s="349"/>
      <c r="AU28" s="349"/>
      <c r="AV28" s="349"/>
      <c r="AW28" s="349"/>
      <c r="AX28" s="349"/>
      <c r="AY28" s="303"/>
      <c r="AZ28" s="350" t="str">
        <f ca="1">_xll.DBRW($A$3,$A$10,AZ$24,$BX28,$BT28,$BV28,$BZ28,"EBITDA LTM","Value")</f>
        <v>RECALC_1_50_</v>
      </c>
      <c r="BA28" s="350"/>
      <c r="BB28" s="351"/>
      <c r="BC28" s="303"/>
      <c r="BD28" s="350" t="str">
        <f ca="1">_xll.DBRW($A$3,$A$10,BD$24,$BX28,$BT28,$BV28,$BZ28,"EBITDA LTM","Value")</f>
        <v>RECALC_1_42_</v>
      </c>
      <c r="BE28" s="350"/>
      <c r="BF28" s="351"/>
      <c r="BG28" s="290"/>
      <c r="BH28" s="302"/>
      <c r="BI28" s="366" t="str">
        <f ca="1">_xll.DBRW($A$3,$A$10,BI$24,$CH28,$CD28,$CF28,$CJ28,"EBITDA LTM","Value")</f>
        <v>RECALC_1_86_</v>
      </c>
      <c r="BJ28" s="350"/>
      <c r="BK28" s="350"/>
      <c r="BL28" s="301"/>
      <c r="BM28" s="366" t="str">
        <f ca="1">_xll.DBRW($A$3,$A$10,BM$24,$CH28,$CD28,$CF28,$CJ28,"EBITDA LTM","Value")</f>
        <v>RECALC_1_28_</v>
      </c>
      <c r="BN28" s="350"/>
      <c r="BO28" s="351"/>
      <c r="BP28" s="290"/>
      <c r="BQ28" s="291"/>
      <c r="BR28" s="221"/>
      <c r="BT28" t="s">
        <v>284</v>
      </c>
      <c r="BV28" t="s">
        <v>36</v>
      </c>
      <c r="BX28" t="s">
        <v>34</v>
      </c>
      <c r="BZ28" t="s">
        <v>266</v>
      </c>
      <c r="CD28" t="s">
        <v>221</v>
      </c>
      <c r="CF28" t="s">
        <v>36</v>
      </c>
      <c r="CH28" t="s">
        <v>34</v>
      </c>
      <c r="CJ28" t="s">
        <v>266</v>
      </c>
    </row>
    <row r="29" spans="1:88">
      <c r="A29" t="s">
        <v>16</v>
      </c>
      <c r="E29" s="148" t="str">
        <f ca="1">'Value Tree 1'!$F$4</f>
        <v>RECALC_0_5_</v>
      </c>
      <c r="F29" s="272"/>
      <c r="G29" s="362" t="str">
        <f ca="1">_xll.DBRW(A3,A10,G27,E29,A20,A23,A26,"% ROIC","Value")</f>
        <v>RECALC_1_75_</v>
      </c>
      <c r="H29" s="363"/>
      <c r="I29" s="363"/>
      <c r="J29" s="319"/>
      <c r="K29" s="362" t="str">
        <f ca="1">_xll.DBRW(A3,A10,K27,E29,A20,A23,A26,"% ROIC","Value")</f>
        <v>RECALC_1_74_</v>
      </c>
      <c r="L29" s="363"/>
      <c r="M29" s="364"/>
      <c r="N29" s="270"/>
      <c r="O29" s="292"/>
      <c r="P29" s="270" t="str">
        <f ca="1">'Value Tree 1'!$F$4</f>
        <v>RECALC_0_5_</v>
      </c>
      <c r="Q29" s="272"/>
      <c r="R29" s="327" t="str">
        <f ca="1">_xll.DBRW(A3,A10,R27,P29,A20,A23,"Total Products","Income Tax LTM","Value")</f>
        <v>RECALC_1_120_</v>
      </c>
      <c r="S29" s="328"/>
      <c r="T29" s="328"/>
      <c r="U29" s="272"/>
      <c r="V29" s="327" t="str">
        <f ca="1">_xll.DBRW(A3,A10,V27,P29,A20,A23,"Total Products","Income Tax LTM","Value")</f>
        <v>RECALC_1_88_</v>
      </c>
      <c r="W29" s="328"/>
      <c r="X29" s="329"/>
      <c r="Y29" s="292"/>
      <c r="Z29" s="270"/>
      <c r="AA29" s="270" t="str">
        <f ca="1">'Value Tree 1'!$F$4</f>
        <v>RECALC_0_5_</v>
      </c>
      <c r="AB29" s="271"/>
      <c r="AC29" s="330"/>
      <c r="AD29" s="331"/>
      <c r="AE29" s="332"/>
      <c r="AF29" s="274"/>
      <c r="AG29" s="274"/>
      <c r="AH29" s="274"/>
      <c r="AI29" s="306"/>
      <c r="AJ29" s="330"/>
      <c r="AK29" s="331"/>
      <c r="AL29" s="332"/>
      <c r="AM29" s="333"/>
      <c r="AN29" s="331"/>
      <c r="AO29" s="332"/>
      <c r="AP29" s="270" t="s">
        <v>36</v>
      </c>
      <c r="AQ29" t="s">
        <v>284</v>
      </c>
      <c r="AR29" s="287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0"/>
      <c r="BK29" s="290"/>
      <c r="BL29" s="290"/>
      <c r="BM29" s="290"/>
      <c r="BN29" s="290"/>
      <c r="BO29" s="290"/>
      <c r="BP29" s="290"/>
      <c r="BQ29" s="291"/>
      <c r="BR29" s="221"/>
    </row>
    <row r="30" spans="1:88">
      <c r="E30" s="148" t="str">
        <f ca="1">'Value Tree 1'!$F$5</f>
        <v>RECALC_0_4_</v>
      </c>
      <c r="F30" s="282"/>
      <c r="G30" s="355" t="str">
        <f ca="1">_xll.DBRW(A3,A10,G27,E30,A20,A23,A26,"% ROIC","Value")</f>
        <v>RECALC_1_61_</v>
      </c>
      <c r="H30" s="356"/>
      <c r="I30" s="356"/>
      <c r="J30" s="320"/>
      <c r="K30" s="355" t="str">
        <f ca="1">_xll.DBRW(A3,A10,K27,E30,A20,A23,A26,"% ROIC","Value")</f>
        <v>RECALC_1_72_</v>
      </c>
      <c r="L30" s="356"/>
      <c r="M30" s="357"/>
      <c r="N30" s="270"/>
      <c r="O30" s="292"/>
      <c r="P30" s="283" t="str">
        <f ca="1">'Value Tree 1'!$F$5</f>
        <v>RECALC_0_4_</v>
      </c>
      <c r="Q30" s="282"/>
      <c r="R30" s="340" t="str">
        <f ca="1">_xll.DBRW(A3,A10,R27,P30,A20,A23,"Total Products","Income Tax LTM","Value")</f>
        <v>RECALC_1_118_</v>
      </c>
      <c r="S30" s="341"/>
      <c r="T30" s="341"/>
      <c r="U30" s="282"/>
      <c r="V30" s="340" t="str">
        <f ca="1">_xll.DBRW(A3,A10,V27,P30,A20,A23,"Total Products","Income Tax LTM","Value")</f>
        <v>RECALC_1_37_</v>
      </c>
      <c r="W30" s="341"/>
      <c r="X30" s="342"/>
      <c r="Y30" s="292"/>
      <c r="Z30" s="270"/>
      <c r="AA30" s="270" t="str">
        <f ca="1">'Value Tree 1'!$F$5</f>
        <v>RECALC_0_4_</v>
      </c>
      <c r="AB30" s="281"/>
      <c r="AC30" s="340"/>
      <c r="AD30" s="341"/>
      <c r="AE30" s="342"/>
      <c r="AF30" s="340"/>
      <c r="AG30" s="341"/>
      <c r="AH30" s="341"/>
      <c r="AI30" s="307"/>
      <c r="AJ30" s="340"/>
      <c r="AK30" s="341"/>
      <c r="AL30" s="342"/>
      <c r="AM30" s="343"/>
      <c r="AN30" s="341"/>
      <c r="AO30" s="342"/>
      <c r="AP30" s="270" t="s">
        <v>36</v>
      </c>
      <c r="AQ30" t="s">
        <v>284</v>
      </c>
      <c r="AR30" s="287"/>
      <c r="AS30" s="290"/>
      <c r="AT30" s="290"/>
      <c r="AU30" s="290"/>
      <c r="AV30" s="290"/>
      <c r="AW30" s="290"/>
      <c r="AX30" s="290"/>
      <c r="AY30" s="290"/>
      <c r="AZ30" s="290"/>
      <c r="BA30" s="290"/>
      <c r="BB30" s="290"/>
      <c r="BC30" s="290"/>
      <c r="BD30" s="290"/>
      <c r="BE30" s="290"/>
      <c r="BF30" s="290"/>
      <c r="BG30" s="290"/>
      <c r="BH30" s="290"/>
      <c r="BI30" s="290"/>
      <c r="BJ30" s="290"/>
      <c r="BK30" s="290"/>
      <c r="BL30" s="290"/>
      <c r="BM30" s="290"/>
      <c r="BN30" s="290"/>
      <c r="BO30" s="290"/>
      <c r="BP30" s="290"/>
      <c r="BQ30" s="291"/>
      <c r="BR30" s="221"/>
    </row>
    <row r="31" spans="1:88">
      <c r="A31" s="8" t="s">
        <v>17</v>
      </c>
      <c r="E31" s="148"/>
      <c r="F31" s="270"/>
      <c r="G31" s="270"/>
      <c r="H31" s="270"/>
      <c r="I31" s="270"/>
      <c r="J31" s="270"/>
      <c r="K31" s="270"/>
      <c r="L31" s="270"/>
      <c r="M31" s="270"/>
      <c r="N31" s="270"/>
      <c r="O31" s="292"/>
      <c r="P31" s="270"/>
      <c r="Q31" s="270"/>
      <c r="R31" s="341" t="str">
        <f ca="1">$A$13</f>
        <v>RECALC_0_9_</v>
      </c>
      <c r="S31" s="341"/>
      <c r="T31" s="341"/>
      <c r="U31" s="270"/>
      <c r="V31" s="341" t="str">
        <f ca="1">$A$14</f>
        <v>RECALC_0_10_</v>
      </c>
      <c r="W31" s="341"/>
      <c r="X31" s="341"/>
      <c r="Y31" s="292"/>
      <c r="Z31" s="270"/>
      <c r="AA31" s="270"/>
      <c r="AB31" s="270"/>
      <c r="AC31" s="270"/>
      <c r="AD31" s="270"/>
      <c r="AE31" s="270"/>
      <c r="AF31" s="270"/>
      <c r="AG31" s="270"/>
      <c r="AH31" s="270"/>
      <c r="AI31" s="270"/>
      <c r="AJ31" s="270"/>
      <c r="AK31" s="270"/>
      <c r="AL31" s="270"/>
      <c r="AM31" s="270"/>
      <c r="AN31" s="270"/>
      <c r="AO31" s="270"/>
      <c r="AP31" s="270"/>
      <c r="AQ31" s="270"/>
      <c r="AR31" s="287"/>
      <c r="AS31" s="290"/>
      <c r="AT31" s="290"/>
      <c r="AU31" s="290"/>
      <c r="AV31" s="290"/>
      <c r="AW31" s="290"/>
      <c r="AX31" s="290"/>
      <c r="AY31" s="290"/>
      <c r="AZ31" s="290"/>
      <c r="BA31" s="290"/>
      <c r="BB31" s="290"/>
      <c r="BC31" s="290"/>
      <c r="BD31" s="290"/>
      <c r="BE31" s="290"/>
      <c r="BF31" s="290"/>
      <c r="BG31" s="290"/>
      <c r="BH31" s="290"/>
      <c r="BI31" s="290"/>
      <c r="BJ31" s="290"/>
      <c r="BK31" s="290"/>
      <c r="BL31" s="290"/>
      <c r="BM31" s="290"/>
      <c r="BN31" s="290"/>
      <c r="BO31" s="290"/>
      <c r="BP31" s="290"/>
      <c r="BQ31" s="291"/>
      <c r="BR31" s="221"/>
    </row>
    <row r="32" spans="1:88">
      <c r="A32" t="s">
        <v>18</v>
      </c>
      <c r="E32" s="148"/>
      <c r="F32" s="270"/>
      <c r="G32" s="270"/>
      <c r="H32" s="270"/>
      <c r="I32" s="270"/>
      <c r="J32" s="270"/>
      <c r="K32" s="270"/>
      <c r="L32" s="270"/>
      <c r="M32" s="270"/>
      <c r="N32" s="270"/>
      <c r="O32" s="292"/>
      <c r="P32" s="270"/>
      <c r="Q32" s="321" t="s">
        <v>253</v>
      </c>
      <c r="R32" s="322"/>
      <c r="S32" s="322"/>
      <c r="T32" s="322"/>
      <c r="U32" s="322"/>
      <c r="V32" s="322"/>
      <c r="W32" s="322"/>
      <c r="X32" s="323"/>
      <c r="Y32" s="292"/>
      <c r="Z32" s="270"/>
      <c r="AA32" s="270"/>
      <c r="AB32" s="270"/>
      <c r="AC32" s="361" t="str">
        <f ca="1">$A$13</f>
        <v>RECALC_0_9_</v>
      </c>
      <c r="AD32" s="361"/>
      <c r="AE32" s="361"/>
      <c r="AF32" s="361" t="str">
        <f ca="1">$A$13</f>
        <v>RECALC_0_9_</v>
      </c>
      <c r="AG32" s="361"/>
      <c r="AH32" s="361"/>
      <c r="AI32" s="270"/>
      <c r="AJ32" s="361" t="s">
        <v>67</v>
      </c>
      <c r="AK32" s="361"/>
      <c r="AL32" s="361"/>
      <c r="AM32" s="361" t="s">
        <v>67</v>
      </c>
      <c r="AN32" s="361"/>
      <c r="AO32" s="361"/>
      <c r="AP32" s="270"/>
      <c r="AQ32" s="270"/>
      <c r="AR32" s="287"/>
      <c r="AS32" s="290"/>
      <c r="AT32" s="290"/>
      <c r="AU32" s="290"/>
      <c r="AV32" s="290"/>
      <c r="AW32" s="290"/>
      <c r="AX32" s="290"/>
      <c r="AY32" s="290"/>
      <c r="AZ32" s="365" t="str">
        <f ca="1">$A$13</f>
        <v>RECALC_0_9_</v>
      </c>
      <c r="BA32" s="365"/>
      <c r="BB32" s="365"/>
      <c r="BC32" s="290"/>
      <c r="BD32" s="365" t="str">
        <f ca="1">$A$14</f>
        <v>RECALC_0_10_</v>
      </c>
      <c r="BE32" s="365"/>
      <c r="BF32" s="365"/>
      <c r="BG32" s="290"/>
      <c r="BH32" s="290"/>
      <c r="BI32" s="365" t="str">
        <f ca="1">$A$13</f>
        <v>RECALC_0_9_</v>
      </c>
      <c r="BJ32" s="365"/>
      <c r="BK32" s="365"/>
      <c r="BL32" s="290"/>
      <c r="BM32" s="365" t="str">
        <f ca="1">$A$14</f>
        <v>RECALC_0_10_</v>
      </c>
      <c r="BN32" s="365"/>
      <c r="BO32" s="365"/>
      <c r="BP32" s="290"/>
      <c r="BQ32" s="291"/>
      <c r="BR32" s="221"/>
    </row>
    <row r="33" spans="1:88">
      <c r="A33" s="9"/>
      <c r="E33" s="148"/>
      <c r="F33" s="270"/>
      <c r="G33" s="270"/>
      <c r="H33" s="270"/>
      <c r="I33" s="270"/>
      <c r="J33" s="270"/>
      <c r="K33" s="270"/>
      <c r="L33" s="270"/>
      <c r="M33" s="270"/>
      <c r="N33" s="270"/>
      <c r="O33" s="292"/>
      <c r="P33" s="270" t="str">
        <f ca="1">'Value Tree 1'!$F$4</f>
        <v>RECALC_0_5_</v>
      </c>
      <c r="Q33" s="272"/>
      <c r="R33" s="327" t="str">
        <f ca="1">_xll.DBRW(A5,A10,R31,P33,A20,A23,"Financial Results",A39)</f>
        <v>RECALC_1_31_</v>
      </c>
      <c r="S33" s="328"/>
      <c r="T33" s="328"/>
      <c r="U33" s="312"/>
      <c r="V33" s="327" t="str">
        <f ca="1">_xll.DBRW(A5,A10,V31,P33,A20,A23,"Financial Results",A39)</f>
        <v>RECALC_1_101_</v>
      </c>
      <c r="W33" s="328"/>
      <c r="X33" s="329"/>
      <c r="Y33" s="292"/>
      <c r="Z33" s="270"/>
      <c r="AA33" s="270"/>
      <c r="AB33" s="321" t="s">
        <v>240</v>
      </c>
      <c r="AC33" s="322"/>
      <c r="AD33" s="322"/>
      <c r="AE33" s="322"/>
      <c r="AF33" s="322"/>
      <c r="AG33" s="322"/>
      <c r="AH33" s="322"/>
      <c r="AI33" s="322"/>
      <c r="AJ33" s="322"/>
      <c r="AK33" s="322"/>
      <c r="AL33" s="322"/>
      <c r="AM33" s="322"/>
      <c r="AN33" s="322"/>
      <c r="AO33" s="323"/>
      <c r="AP33" s="270"/>
      <c r="AQ33" s="270"/>
      <c r="AR33" s="287"/>
      <c r="AS33" s="324" t="s">
        <v>256</v>
      </c>
      <c r="AT33" s="325"/>
      <c r="AU33" s="325"/>
      <c r="AV33" s="325"/>
      <c r="AW33" s="325"/>
      <c r="AX33" s="325"/>
      <c r="AY33" s="325"/>
      <c r="AZ33" s="325"/>
      <c r="BA33" s="325"/>
      <c r="BB33" s="325"/>
      <c r="BC33" s="325"/>
      <c r="BD33" s="325"/>
      <c r="BE33" s="325"/>
      <c r="BF33" s="326"/>
      <c r="BG33" s="290"/>
      <c r="BH33" s="321" t="s">
        <v>269</v>
      </c>
      <c r="BI33" s="322"/>
      <c r="BJ33" s="322"/>
      <c r="BK33" s="322"/>
      <c r="BL33" s="322"/>
      <c r="BM33" s="322"/>
      <c r="BN33" s="322"/>
      <c r="BO33" s="323"/>
      <c r="BP33" s="290"/>
      <c r="BQ33" s="291"/>
      <c r="BR33" s="221"/>
    </row>
    <row r="34" spans="1:88">
      <c r="A34" s="10"/>
      <c r="E34" s="148"/>
      <c r="F34" s="270"/>
      <c r="G34" s="270"/>
      <c r="H34" s="270"/>
      <c r="I34" s="270"/>
      <c r="J34" s="270"/>
      <c r="K34" s="270"/>
      <c r="L34" s="270"/>
      <c r="M34" s="270"/>
      <c r="N34" s="270"/>
      <c r="O34" s="292"/>
      <c r="P34" s="283" t="str">
        <f ca="1">'Value Tree 1'!$F$5</f>
        <v>RECALC_0_4_</v>
      </c>
      <c r="Q34" s="282"/>
      <c r="R34" s="340" t="str">
        <f ca="1">_xll.DBRW(A5,A10,R31,P34,A20,A23,"Financial Results",A39)</f>
        <v>RECALC_1_73_</v>
      </c>
      <c r="S34" s="341"/>
      <c r="T34" s="341"/>
      <c r="U34" s="307"/>
      <c r="V34" s="340" t="str">
        <f ca="1">_xll.DBRW(A5,A10,V31,P34,A20,A23,"Financial Results",A39)</f>
        <v>RECALC_1_92_</v>
      </c>
      <c r="W34" s="341"/>
      <c r="X34" s="342"/>
      <c r="Y34" s="292"/>
      <c r="Z34" s="283"/>
      <c r="AA34" s="284" t="str">
        <f ca="1">'Value Tree 1'!$F$4</f>
        <v>RECALC_0_5_</v>
      </c>
      <c r="AB34" s="299"/>
      <c r="AC34" s="330"/>
      <c r="AD34" s="331"/>
      <c r="AE34" s="332"/>
      <c r="AF34" s="274"/>
      <c r="AG34" s="274"/>
      <c r="AH34" s="274"/>
      <c r="AI34" s="299"/>
      <c r="AJ34" s="330"/>
      <c r="AK34" s="331"/>
      <c r="AL34" s="332"/>
      <c r="AM34" s="333"/>
      <c r="AN34" s="331"/>
      <c r="AO34" s="332"/>
      <c r="AP34" s="297" t="s">
        <v>24</v>
      </c>
      <c r="AQ34" t="s">
        <v>282</v>
      </c>
      <c r="AR34" s="313"/>
      <c r="AS34" s="334" t="s">
        <v>238</v>
      </c>
      <c r="AT34" s="335"/>
      <c r="AU34" s="335"/>
      <c r="AV34" s="335"/>
      <c r="AW34" s="335"/>
      <c r="AX34" s="335"/>
      <c r="AY34" s="314"/>
      <c r="AZ34" s="328" t="str">
        <f ca="1">_xll.DBRW($A$3,$A$10,AZ$32,$BX34,$BT34,$BV34,$BZ34,"EBITDA LTM","Value")</f>
        <v>RECALC_1_18_</v>
      </c>
      <c r="BA34" s="328"/>
      <c r="BB34" s="328"/>
      <c r="BC34" s="314"/>
      <c r="BD34" s="328" t="str">
        <f ca="1">_xll.DBRW($A$3,$A$10,BD$32,$BX34,$BT34,$BV34,$BZ34,"EBITDA LTM","Value")</f>
        <v>RECALC_1_19_</v>
      </c>
      <c r="BE34" s="328"/>
      <c r="BF34" s="329"/>
      <c r="BG34" s="290"/>
      <c r="BH34" s="315"/>
      <c r="BI34" s="352" t="str">
        <f ca="1">_xll.DBRW($A$3,$A$10,BI$32,$CH34,$CD34,$CF34,$CJ34,"EBITDA LTM","Value")</f>
        <v>RECALC_1_15_</v>
      </c>
      <c r="BJ34" s="328"/>
      <c r="BK34" s="328"/>
      <c r="BL34" s="314"/>
      <c r="BM34" s="352" t="str">
        <f ca="1">_xll.DBRW($A$3,$A$10,BM$32,$CH34,$CD34,$CF34,$CJ34,"EBITDA LTM","Value")</f>
        <v>RECALC_1_25_</v>
      </c>
      <c r="BN34" s="328"/>
      <c r="BO34" s="329"/>
      <c r="BP34" s="290"/>
      <c r="BQ34" s="291"/>
      <c r="BR34" s="221"/>
      <c r="BT34" t="s">
        <v>282</v>
      </c>
      <c r="BV34" t="s">
        <v>24</v>
      </c>
      <c r="BX34" t="s">
        <v>34</v>
      </c>
      <c r="BZ34" t="s">
        <v>266</v>
      </c>
      <c r="CD34" t="s">
        <v>223</v>
      </c>
      <c r="CF34" t="s">
        <v>24</v>
      </c>
      <c r="CH34" t="s">
        <v>34</v>
      </c>
      <c r="CJ34" t="s">
        <v>266</v>
      </c>
    </row>
    <row r="35" spans="1:88">
      <c r="A35" s="2" t="s">
        <v>19</v>
      </c>
      <c r="E35" s="148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 t="str">
        <f ca="1">'Value Tree 1'!$F$5</f>
        <v>RECALC_0_4_</v>
      </c>
      <c r="AB35" s="303"/>
      <c r="AC35" s="340"/>
      <c r="AD35" s="341"/>
      <c r="AE35" s="342"/>
      <c r="AF35" s="340"/>
      <c r="AG35" s="341"/>
      <c r="AH35" s="341"/>
      <c r="AI35" s="303"/>
      <c r="AJ35" s="340"/>
      <c r="AK35" s="341"/>
      <c r="AL35" s="342"/>
      <c r="AM35" s="343"/>
      <c r="AN35" s="341"/>
      <c r="AO35" s="342"/>
      <c r="AP35" s="270" t="s">
        <v>24</v>
      </c>
      <c r="AQ35" t="s">
        <v>282</v>
      </c>
      <c r="AR35" s="287"/>
      <c r="AS35" s="358" t="s">
        <v>239</v>
      </c>
      <c r="AT35" s="359"/>
      <c r="AU35" s="359"/>
      <c r="AV35" s="359"/>
      <c r="AW35" s="359"/>
      <c r="AX35" s="359"/>
      <c r="AY35" s="301"/>
      <c r="AZ35" s="341" t="str">
        <f ca="1">_xll.DBRW($A$3,$A$10,AZ$32,$BX35,$BT35,$BV35,$BZ35,"EBITDA LTM","Value")</f>
        <v>RECALC_1_18_</v>
      </c>
      <c r="BA35" s="341"/>
      <c r="BB35" s="341"/>
      <c r="BC35" s="301"/>
      <c r="BD35" s="341" t="str">
        <f ca="1">_xll.DBRW($A$3,$A$10,BD$32,$BX35,$BT35,$BV35,$BZ35,"EBITDA LTM","Value")</f>
        <v>RECALC_1_19_</v>
      </c>
      <c r="BE35" s="341"/>
      <c r="BF35" s="342"/>
      <c r="BG35" s="310"/>
      <c r="BH35" s="302"/>
      <c r="BI35" s="360" t="str">
        <f ca="1">_xll.DBRW($A$3,$A$10,BI$32,$CH35,$CD35,$CF35,$CJ35,"EBITDA LTM","Value")</f>
        <v>RECALC_1_14_</v>
      </c>
      <c r="BJ35" s="341"/>
      <c r="BK35" s="341"/>
      <c r="BL35" s="301"/>
      <c r="BM35" s="360" t="str">
        <f ca="1">_xll.DBRW($A$3,$A$10,BM$32,$CH35,$CD35,$CF35,$CJ35,"EBITDA LTM","Value")</f>
        <v>RECALC_1_24_</v>
      </c>
      <c r="BN35" s="341"/>
      <c r="BO35" s="342"/>
      <c r="BP35" s="290"/>
      <c r="BQ35" s="291"/>
      <c r="BR35" s="221"/>
      <c r="BT35" t="s">
        <v>282</v>
      </c>
      <c r="BV35" t="s">
        <v>24</v>
      </c>
      <c r="BX35" t="s">
        <v>34</v>
      </c>
      <c r="BZ35" t="s">
        <v>266</v>
      </c>
      <c r="CD35" t="s">
        <v>222</v>
      </c>
      <c r="CF35" t="s">
        <v>24</v>
      </c>
      <c r="CH35" t="s">
        <v>34</v>
      </c>
      <c r="CJ35" t="s">
        <v>266</v>
      </c>
    </row>
    <row r="36" spans="1:88">
      <c r="A36" t="s">
        <v>118</v>
      </c>
      <c r="E36" s="148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  <c r="AB36" s="321" t="s">
        <v>241</v>
      </c>
      <c r="AC36" s="322"/>
      <c r="AD36" s="322"/>
      <c r="AE36" s="322"/>
      <c r="AF36" s="322"/>
      <c r="AG36" s="322"/>
      <c r="AH36" s="322"/>
      <c r="AI36" s="322"/>
      <c r="AJ36" s="322"/>
      <c r="AK36" s="322"/>
      <c r="AL36" s="322"/>
      <c r="AM36" s="322"/>
      <c r="AN36" s="322"/>
      <c r="AO36" s="323"/>
      <c r="AP36" s="270"/>
      <c r="AQ36" s="270"/>
      <c r="AR36" s="287"/>
      <c r="AS36" s="290"/>
      <c r="AT36" s="290"/>
      <c r="AU36" s="290"/>
      <c r="AV36" s="290"/>
      <c r="AW36" s="290"/>
      <c r="AX36" s="290"/>
      <c r="AY36" s="290"/>
      <c r="AZ36" s="290"/>
      <c r="BA36" s="290"/>
      <c r="BB36" s="290"/>
      <c r="BC36" s="290"/>
      <c r="BD36" s="290"/>
      <c r="BE36" s="290"/>
      <c r="BF36" s="290"/>
      <c r="BG36" s="290"/>
      <c r="BH36" s="290"/>
      <c r="BI36" s="290"/>
      <c r="BJ36" s="290"/>
      <c r="BK36" s="290"/>
      <c r="BL36" s="290"/>
      <c r="BM36" s="290"/>
      <c r="BN36" s="290"/>
      <c r="BO36" s="290"/>
      <c r="BP36" s="290"/>
      <c r="BQ36" s="291"/>
      <c r="BR36" s="221"/>
    </row>
    <row r="37" spans="1:88">
      <c r="A37" s="9"/>
      <c r="E37" s="148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  <c r="S37" s="270"/>
      <c r="T37" s="270"/>
      <c r="U37" s="270"/>
      <c r="V37" s="270"/>
      <c r="W37" s="270"/>
      <c r="X37" s="270"/>
      <c r="Y37" s="270"/>
      <c r="Z37" s="270"/>
      <c r="AA37" s="270" t="str">
        <f ca="1">'Value Tree 1'!$F$4</f>
        <v>RECALC_0_5_</v>
      </c>
      <c r="AB37" s="299"/>
      <c r="AC37" s="330"/>
      <c r="AD37" s="331"/>
      <c r="AE37" s="332"/>
      <c r="AF37" s="274"/>
      <c r="AG37" s="274"/>
      <c r="AH37" s="274"/>
      <c r="AI37" s="299"/>
      <c r="AJ37" s="330"/>
      <c r="AK37" s="331"/>
      <c r="AL37" s="332"/>
      <c r="AM37" s="333"/>
      <c r="AN37" s="331"/>
      <c r="AO37" s="332"/>
      <c r="AP37" s="270" t="s">
        <v>24</v>
      </c>
      <c r="AQ37" t="s">
        <v>282</v>
      </c>
      <c r="AR37" s="287"/>
      <c r="AS37" s="290"/>
      <c r="AT37" s="290"/>
      <c r="AU37" s="290"/>
      <c r="AV37" s="290"/>
      <c r="AW37" s="290"/>
      <c r="AX37" s="290"/>
      <c r="AY37" s="290"/>
      <c r="AZ37" s="290"/>
      <c r="BA37" s="290"/>
      <c r="BB37" s="290"/>
      <c r="BC37" s="290"/>
      <c r="BD37" s="290"/>
      <c r="BE37" s="290"/>
      <c r="BF37" s="290"/>
      <c r="BG37" s="290"/>
      <c r="BH37" s="290"/>
      <c r="BI37" s="290"/>
      <c r="BJ37" s="290"/>
      <c r="BK37" s="290"/>
      <c r="BL37" s="290"/>
      <c r="BM37" s="290"/>
      <c r="BN37" s="290"/>
      <c r="BO37" s="290"/>
      <c r="BP37" s="290"/>
      <c r="BQ37" s="291"/>
      <c r="BR37" s="221"/>
    </row>
    <row r="38" spans="1:88" ht="15" thickBot="1">
      <c r="A38" s="2" t="s">
        <v>74</v>
      </c>
      <c r="E38" s="148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  <c r="S38" s="270"/>
      <c r="T38" s="270"/>
      <c r="U38" s="270"/>
      <c r="V38" s="270"/>
      <c r="W38" s="270"/>
      <c r="X38" s="270"/>
      <c r="Y38" s="270"/>
      <c r="Z38" s="270"/>
      <c r="AA38" s="270" t="str">
        <f ca="1">'Value Tree 1'!$F$5</f>
        <v>RECALC_0_4_</v>
      </c>
      <c r="AB38" s="303"/>
      <c r="AC38" s="340"/>
      <c r="AD38" s="341"/>
      <c r="AE38" s="342"/>
      <c r="AF38" s="340"/>
      <c r="AG38" s="341"/>
      <c r="AH38" s="341"/>
      <c r="AI38" s="303"/>
      <c r="AJ38" s="340"/>
      <c r="AK38" s="341"/>
      <c r="AL38" s="342"/>
      <c r="AM38" s="343"/>
      <c r="AN38" s="341"/>
      <c r="AO38" s="342"/>
      <c r="AP38" s="270" t="s">
        <v>24</v>
      </c>
      <c r="AQ38" t="s">
        <v>282</v>
      </c>
      <c r="AR38" s="316"/>
      <c r="AS38" s="317"/>
      <c r="AT38" s="317"/>
      <c r="AU38" s="317"/>
      <c r="AV38" s="317"/>
      <c r="AW38" s="317"/>
      <c r="AX38" s="317"/>
      <c r="AY38" s="317"/>
      <c r="AZ38" s="317"/>
      <c r="BA38" s="317"/>
      <c r="BB38" s="317"/>
      <c r="BC38" s="317"/>
      <c r="BD38" s="317"/>
      <c r="BE38" s="317"/>
      <c r="BF38" s="317"/>
      <c r="BG38" s="317"/>
      <c r="BH38" s="317"/>
      <c r="BI38" s="317"/>
      <c r="BJ38" s="317"/>
      <c r="BK38" s="317"/>
      <c r="BL38" s="317"/>
      <c r="BM38" s="317"/>
      <c r="BN38" s="317"/>
      <c r="BO38" s="317"/>
      <c r="BP38" s="317"/>
      <c r="BQ38" s="318"/>
      <c r="BR38" s="221"/>
    </row>
    <row r="39" spans="1:88">
      <c r="A39" t="s">
        <v>119</v>
      </c>
    </row>
    <row r="40" spans="1:88">
      <c r="A40" s="9"/>
    </row>
    <row r="41" spans="1:88">
      <c r="A41" s="9"/>
    </row>
    <row r="42" spans="1:88">
      <c r="A42" s="9"/>
    </row>
    <row r="43" spans="1:88">
      <c r="A43" s="9"/>
    </row>
    <row r="44" spans="1:88">
      <c r="A44" s="9"/>
    </row>
    <row r="45" spans="1:88">
      <c r="A45" s="9"/>
    </row>
    <row r="46" spans="1:88">
      <c r="A46" s="9"/>
    </row>
    <row r="47" spans="1:88">
      <c r="A47" s="9"/>
    </row>
    <row r="48" spans="1:88">
      <c r="A48" s="9"/>
    </row>
    <row r="49" spans="1:1">
      <c r="A49" s="9"/>
    </row>
    <row r="50" spans="1:1">
      <c r="A50" s="9"/>
    </row>
    <row r="51" spans="1:1">
      <c r="A51" s="9"/>
    </row>
    <row r="52" spans="1:1">
      <c r="A52" s="9"/>
    </row>
    <row r="53" spans="1:1">
      <c r="A53" s="9"/>
    </row>
    <row r="54" spans="1:1">
      <c r="A54" s="9"/>
    </row>
    <row r="55" spans="1:1">
      <c r="A55" s="9"/>
    </row>
    <row r="56" spans="1:1">
      <c r="A56" s="9"/>
    </row>
    <row r="57" spans="1:1">
      <c r="A57" s="9"/>
    </row>
    <row r="58" spans="1:1">
      <c r="A58" s="9"/>
    </row>
    <row r="59" spans="1:1">
      <c r="A59" s="9"/>
    </row>
    <row r="60" spans="1:1">
      <c r="A60" s="9"/>
    </row>
    <row r="61" spans="1:1">
      <c r="A61" s="2" t="s">
        <v>134</v>
      </c>
    </row>
    <row r="62" spans="1:1">
      <c r="A62" t="s">
        <v>118</v>
      </c>
    </row>
  </sheetData>
  <mergeCells count="234">
    <mergeCell ref="AC5:AE5"/>
    <mergeCell ref="AZ32:BB32"/>
    <mergeCell ref="BD32:BF32"/>
    <mergeCell ref="BI24:BK24"/>
    <mergeCell ref="BM24:BO24"/>
    <mergeCell ref="BM32:BO32"/>
    <mergeCell ref="BI32:BK32"/>
    <mergeCell ref="AZ6:BB6"/>
    <mergeCell ref="BD6:BF6"/>
    <mergeCell ref="AZ16:BB16"/>
    <mergeCell ref="BD16:BF16"/>
    <mergeCell ref="AZ24:BB24"/>
    <mergeCell ref="BD24:BF24"/>
    <mergeCell ref="BI28:BK28"/>
    <mergeCell ref="BM28:BO28"/>
    <mergeCell ref="AZ27:BB27"/>
    <mergeCell ref="BD27:BF27"/>
    <mergeCell ref="BI27:BK27"/>
    <mergeCell ref="BM27:BO27"/>
    <mergeCell ref="AS25:BF25"/>
    <mergeCell ref="BH25:BO25"/>
    <mergeCell ref="AZ21:BB21"/>
    <mergeCell ref="BD21:BF21"/>
    <mergeCell ref="AS21:AX21"/>
    <mergeCell ref="BD19:BF19"/>
    <mergeCell ref="AC6:AE6"/>
    <mergeCell ref="AJ6:AL6"/>
    <mergeCell ref="AF6:AH6"/>
    <mergeCell ref="AM6:AO6"/>
    <mergeCell ref="AC16:AE16"/>
    <mergeCell ref="AF16:AH16"/>
    <mergeCell ref="AJ16:AL16"/>
    <mergeCell ref="AM16:AO16"/>
    <mergeCell ref="AJ30:AL30"/>
    <mergeCell ref="AM30:AO30"/>
    <mergeCell ref="AC29:AE29"/>
    <mergeCell ref="AJ29:AL29"/>
    <mergeCell ref="AM29:AO29"/>
    <mergeCell ref="AB28:AO28"/>
    <mergeCell ref="AB25:AO25"/>
    <mergeCell ref="AC18:AE18"/>
    <mergeCell ref="G29:I29"/>
    <mergeCell ref="K29:M29"/>
    <mergeCell ref="R29:T29"/>
    <mergeCell ref="V29:X29"/>
    <mergeCell ref="F28:M28"/>
    <mergeCell ref="Q28:X28"/>
    <mergeCell ref="AC24:AE24"/>
    <mergeCell ref="AF24:AH24"/>
    <mergeCell ref="AJ24:AL24"/>
    <mergeCell ref="R6:T6"/>
    <mergeCell ref="V6:X6"/>
    <mergeCell ref="R10:T10"/>
    <mergeCell ref="V10:X10"/>
    <mergeCell ref="G23:I23"/>
    <mergeCell ref="K23:M23"/>
    <mergeCell ref="G27:I27"/>
    <mergeCell ref="K27:M27"/>
    <mergeCell ref="G12:I12"/>
    <mergeCell ref="K12:M12"/>
    <mergeCell ref="AB36:AO36"/>
    <mergeCell ref="AC37:AE37"/>
    <mergeCell ref="AJ37:AL37"/>
    <mergeCell ref="AM37:AO37"/>
    <mergeCell ref="AC38:AE38"/>
    <mergeCell ref="AF38:AH38"/>
    <mergeCell ref="AJ38:AL38"/>
    <mergeCell ref="AM38:AO38"/>
    <mergeCell ref="R23:T23"/>
    <mergeCell ref="V23:X23"/>
    <mergeCell ref="R27:T27"/>
    <mergeCell ref="V27:X27"/>
    <mergeCell ref="R31:T31"/>
    <mergeCell ref="V31:X31"/>
    <mergeCell ref="AM24:AO24"/>
    <mergeCell ref="AC32:AE32"/>
    <mergeCell ref="AF32:AH32"/>
    <mergeCell ref="AJ32:AL32"/>
    <mergeCell ref="AM32:AO32"/>
    <mergeCell ref="AC35:AE35"/>
    <mergeCell ref="AF35:AH35"/>
    <mergeCell ref="AJ35:AL35"/>
    <mergeCell ref="AM35:AO35"/>
    <mergeCell ref="AS35:AX35"/>
    <mergeCell ref="AZ35:BB35"/>
    <mergeCell ref="BD35:BF35"/>
    <mergeCell ref="BI35:BK35"/>
    <mergeCell ref="BM35:BO35"/>
    <mergeCell ref="AS33:BF33"/>
    <mergeCell ref="BH33:BO33"/>
    <mergeCell ref="R34:T34"/>
    <mergeCell ref="V34:X34"/>
    <mergeCell ref="AC34:AE34"/>
    <mergeCell ref="AJ34:AL34"/>
    <mergeCell ref="AM34:AO34"/>
    <mergeCell ref="AS34:AX34"/>
    <mergeCell ref="AZ34:BB34"/>
    <mergeCell ref="BD34:BF34"/>
    <mergeCell ref="BI34:BK34"/>
    <mergeCell ref="BM34:BO34"/>
    <mergeCell ref="Q32:X32"/>
    <mergeCell ref="R33:T33"/>
    <mergeCell ref="V33:X33"/>
    <mergeCell ref="AB33:AO33"/>
    <mergeCell ref="G30:I30"/>
    <mergeCell ref="K30:M30"/>
    <mergeCell ref="R30:T30"/>
    <mergeCell ref="V30:X30"/>
    <mergeCell ref="AC30:AE30"/>
    <mergeCell ref="AF30:AH30"/>
    <mergeCell ref="AS28:AX28"/>
    <mergeCell ref="AZ28:BB28"/>
    <mergeCell ref="BD28:BF28"/>
    <mergeCell ref="AS26:AX26"/>
    <mergeCell ref="AZ26:BB26"/>
    <mergeCell ref="BD26:BF26"/>
    <mergeCell ref="BI26:BK26"/>
    <mergeCell ref="BM26:BO26"/>
    <mergeCell ref="AC27:AE27"/>
    <mergeCell ref="AF27:AH27"/>
    <mergeCell ref="AJ27:AL27"/>
    <mergeCell ref="AM27:AO27"/>
    <mergeCell ref="AS27:AX27"/>
    <mergeCell ref="G26:I26"/>
    <mergeCell ref="K26:M26"/>
    <mergeCell ref="R26:T26"/>
    <mergeCell ref="V26:X26"/>
    <mergeCell ref="AC26:AE26"/>
    <mergeCell ref="AJ26:AL26"/>
    <mergeCell ref="AM26:AO26"/>
    <mergeCell ref="F24:M24"/>
    <mergeCell ref="Q24:X24"/>
    <mergeCell ref="G25:I25"/>
    <mergeCell ref="K25:M25"/>
    <mergeCell ref="R25:T25"/>
    <mergeCell ref="V25:X25"/>
    <mergeCell ref="R22:T22"/>
    <mergeCell ref="V22:X22"/>
    <mergeCell ref="AC22:AE22"/>
    <mergeCell ref="AF22:AH22"/>
    <mergeCell ref="AJ22:AL22"/>
    <mergeCell ref="AM22:AO22"/>
    <mergeCell ref="R21:T21"/>
    <mergeCell ref="V21:X21"/>
    <mergeCell ref="AC21:AE21"/>
    <mergeCell ref="AJ21:AL21"/>
    <mergeCell ref="AM21:AO21"/>
    <mergeCell ref="Q20:X20"/>
    <mergeCell ref="AB20:AO20"/>
    <mergeCell ref="AS20:AX20"/>
    <mergeCell ref="AZ20:BB20"/>
    <mergeCell ref="BD20:BF20"/>
    <mergeCell ref="R19:T19"/>
    <mergeCell ref="V19:X19"/>
    <mergeCell ref="AC19:AE19"/>
    <mergeCell ref="AF19:AH19"/>
    <mergeCell ref="AJ19:AL19"/>
    <mergeCell ref="AM19:AO19"/>
    <mergeCell ref="AS19:AX19"/>
    <mergeCell ref="AZ19:BB19"/>
    <mergeCell ref="AJ18:AL18"/>
    <mergeCell ref="AM18:AO18"/>
    <mergeCell ref="AS18:AX18"/>
    <mergeCell ref="AZ18:BB18"/>
    <mergeCell ref="BD18:BF18"/>
    <mergeCell ref="R16:T16"/>
    <mergeCell ref="V16:X16"/>
    <mergeCell ref="R17:T17"/>
    <mergeCell ref="V17:X17"/>
    <mergeCell ref="AB17:AO17"/>
    <mergeCell ref="AS17:BF17"/>
    <mergeCell ref="G14:I14"/>
    <mergeCell ref="K14:M14"/>
    <mergeCell ref="AS14:AX14"/>
    <mergeCell ref="AZ14:BB14"/>
    <mergeCell ref="BD14:BF14"/>
    <mergeCell ref="G15:I15"/>
    <mergeCell ref="K15:M15"/>
    <mergeCell ref="Q15:X15"/>
    <mergeCell ref="R14:T14"/>
    <mergeCell ref="V14:X14"/>
    <mergeCell ref="AZ12:BB12"/>
    <mergeCell ref="BD12:BF12"/>
    <mergeCell ref="F13:M13"/>
    <mergeCell ref="R13:T13"/>
    <mergeCell ref="V13:X13"/>
    <mergeCell ref="AS13:AX13"/>
    <mergeCell ref="AZ13:BB13"/>
    <mergeCell ref="BD13:BF13"/>
    <mergeCell ref="AS11:AX11"/>
    <mergeCell ref="AZ11:BB11"/>
    <mergeCell ref="BD11:BF11"/>
    <mergeCell ref="R12:T12"/>
    <mergeCell ref="V12:X12"/>
    <mergeCell ref="AC12:AE12"/>
    <mergeCell ref="AF12:AH12"/>
    <mergeCell ref="AJ12:AL12"/>
    <mergeCell ref="AM12:AO12"/>
    <mergeCell ref="AS12:AX12"/>
    <mergeCell ref="G11:I11"/>
    <mergeCell ref="K11:M11"/>
    <mergeCell ref="Q11:X11"/>
    <mergeCell ref="AC11:AE11"/>
    <mergeCell ref="AJ11:AL11"/>
    <mergeCell ref="AM11:AO11"/>
    <mergeCell ref="BD9:BF9"/>
    <mergeCell ref="G10:I10"/>
    <mergeCell ref="K10:M10"/>
    <mergeCell ref="AB10:AO10"/>
    <mergeCell ref="AS10:AX10"/>
    <mergeCell ref="AZ10:BB10"/>
    <mergeCell ref="BD10:BF10"/>
    <mergeCell ref="BD8:BF8"/>
    <mergeCell ref="F9:M9"/>
    <mergeCell ref="R9:T9"/>
    <mergeCell ref="V9:X9"/>
    <mergeCell ref="AC9:AE9"/>
    <mergeCell ref="AF9:AH9"/>
    <mergeCell ref="AJ9:AL9"/>
    <mergeCell ref="AM9:AO9"/>
    <mergeCell ref="AS9:AX9"/>
    <mergeCell ref="AZ9:BB9"/>
    <mergeCell ref="G8:I8"/>
    <mergeCell ref="K8:M8"/>
    <mergeCell ref="Q7:X7"/>
    <mergeCell ref="AB7:AO7"/>
    <mergeCell ref="AS7:BF7"/>
    <mergeCell ref="R8:T8"/>
    <mergeCell ref="V8:X8"/>
    <mergeCell ref="AC8:AE8"/>
    <mergeCell ref="AJ8:AL8"/>
    <mergeCell ref="AM8:AO8"/>
    <mergeCell ref="AS8:AX8"/>
    <mergeCell ref="AZ8:BB8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4BE7-C7E0-4BA6-BDD9-3A594A6BB779}">
  <dimension ref="F1:BS43"/>
  <sheetViews>
    <sheetView showGridLines="0" topLeftCell="A9" zoomScale="115" zoomScaleNormal="115" workbookViewId="0">
      <selection activeCell="G25" sqref="G25:I25"/>
    </sheetView>
  </sheetViews>
  <sheetFormatPr defaultRowHeight="14.4"/>
  <cols>
    <col min="1" max="101" width="2.33203125" customWidth="1"/>
  </cols>
  <sheetData>
    <row r="1" spans="6:71" ht="13.8" customHeight="1"/>
    <row r="4" spans="6:71">
      <c r="F4" t="str">
        <f ca="1">_xll.SUBNM("CONS_VC:ALL.D.Version",,"RF","Descrição")</f>
        <v>RECALC_0_5_</v>
      </c>
    </row>
    <row r="5" spans="6:71">
      <c r="F5" t="str">
        <f ca="1">_xll.SUBNM("CONS_VC:ALL.D.Version",,"L300","MEMBER_NAME")</f>
        <v>RECALC_0_4_</v>
      </c>
    </row>
    <row r="6" spans="6:71"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  <c r="AZ6" s="221"/>
      <c r="BA6" s="221"/>
      <c r="BB6" s="221"/>
      <c r="BC6" s="221"/>
      <c r="BD6" s="221"/>
      <c r="BE6" s="221"/>
      <c r="BF6" s="221"/>
      <c r="BG6" s="221"/>
      <c r="BH6" s="221"/>
      <c r="BI6" s="221"/>
      <c r="BJ6" s="221"/>
      <c r="BK6" s="221"/>
      <c r="BL6" s="221"/>
      <c r="BM6" s="221"/>
      <c r="BN6" s="221"/>
      <c r="BO6" s="221"/>
      <c r="BP6" s="221"/>
      <c r="BQ6" s="221"/>
      <c r="BR6" s="221"/>
      <c r="BS6" s="221"/>
    </row>
    <row r="7" spans="6:71" ht="15" thickBot="1"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405" t="s">
        <v>247</v>
      </c>
      <c r="R7" s="406"/>
      <c r="S7" s="406"/>
      <c r="T7" s="406"/>
      <c r="U7" s="406"/>
      <c r="V7" s="406"/>
      <c r="W7" s="406"/>
      <c r="X7" s="407"/>
      <c r="Y7" s="221"/>
      <c r="Z7" s="221"/>
      <c r="AA7" s="221"/>
      <c r="AB7" s="405" t="s">
        <v>226</v>
      </c>
      <c r="AC7" s="406"/>
      <c r="AD7" s="406"/>
      <c r="AE7" s="406"/>
      <c r="AF7" s="406"/>
      <c r="AG7" s="406"/>
      <c r="AH7" s="406"/>
      <c r="AI7" s="406"/>
      <c r="AJ7" s="406"/>
      <c r="AK7" s="406"/>
      <c r="AL7" s="406"/>
      <c r="AM7" s="406"/>
      <c r="AN7" s="406"/>
      <c r="AO7" s="407"/>
      <c r="AP7" s="221"/>
      <c r="AQ7" s="221"/>
      <c r="AR7" s="221"/>
      <c r="AS7" s="410" t="s">
        <v>234</v>
      </c>
      <c r="AT7" s="411"/>
      <c r="AU7" s="411"/>
      <c r="AV7" s="411"/>
      <c r="AW7" s="411"/>
      <c r="AX7" s="411"/>
      <c r="AY7" s="411"/>
      <c r="AZ7" s="411"/>
      <c r="BA7" s="411"/>
      <c r="BB7" s="411"/>
      <c r="BC7" s="411"/>
      <c r="BD7" s="411"/>
      <c r="BE7" s="411"/>
      <c r="BF7" s="412"/>
      <c r="BG7" s="221"/>
      <c r="BH7" s="221"/>
      <c r="BI7" s="221"/>
      <c r="BJ7" s="221"/>
      <c r="BK7" s="221"/>
      <c r="BL7" s="221"/>
      <c r="BM7" s="221"/>
      <c r="BN7" s="221"/>
      <c r="BO7" s="221"/>
      <c r="BP7" s="221"/>
      <c r="BQ7" s="221"/>
      <c r="BR7" s="221"/>
      <c r="BS7" s="221"/>
    </row>
    <row r="8" spans="6:71"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2"/>
      <c r="R8" s="424" t="str">
        <f ca="1">'Value Tree 1 - Fx'!R8</f>
        <v>RECALC_1_52_</v>
      </c>
      <c r="S8" s="425"/>
      <c r="T8" s="425"/>
      <c r="U8" s="223"/>
      <c r="V8" s="424" t="str">
        <f ca="1">'Value Tree 1 - Fx'!V8</f>
        <v>RECALC_1_47_</v>
      </c>
      <c r="W8" s="425"/>
      <c r="X8" s="432"/>
      <c r="Y8" s="221"/>
      <c r="Z8" s="221"/>
      <c r="AA8" s="221"/>
      <c r="AB8" s="224"/>
      <c r="AC8" s="434" t="str">
        <f ca="1">'Value Tree 1 - Fx'!AC8</f>
        <v>RECALC_1_21_</v>
      </c>
      <c r="AD8" s="435"/>
      <c r="AE8" s="436"/>
      <c r="AF8" s="437">
        <f>'Value Tree 1 - Fx'!AF8</f>
        <v>0</v>
      </c>
      <c r="AG8" s="423"/>
      <c r="AH8" s="438"/>
      <c r="AI8" s="226"/>
      <c r="AJ8" s="434" t="str">
        <f ca="1">'Value Tree 1 - Fx'!AJ8</f>
        <v>RECALC_1_23_</v>
      </c>
      <c r="AK8" s="435"/>
      <c r="AL8" s="436"/>
      <c r="AM8" s="439">
        <f>'Value Tree 1 - Fx'!AM8</f>
        <v>0</v>
      </c>
      <c r="AN8" s="435"/>
      <c r="AO8" s="436"/>
      <c r="AP8" s="221"/>
      <c r="AQ8" s="221"/>
      <c r="AR8" s="227"/>
      <c r="AS8" s="413" t="s">
        <v>227</v>
      </c>
      <c r="AT8" s="414"/>
      <c r="AU8" s="414"/>
      <c r="AV8" s="414"/>
      <c r="AW8" s="414"/>
      <c r="AX8" s="414"/>
      <c r="AY8" s="228"/>
      <c r="AZ8" s="423" t="str">
        <f ca="1">'Value Tree 1 - Fx'!AZ8</f>
        <v>RECALC_1_103_</v>
      </c>
      <c r="BA8" s="423"/>
      <c r="BB8" s="423"/>
      <c r="BC8" s="229"/>
      <c r="BD8" s="423" t="str">
        <f ca="1">'Value Tree 1 - Fx'!BD8</f>
        <v>RECALC_1_97_</v>
      </c>
      <c r="BE8" s="423"/>
      <c r="BF8" s="428"/>
      <c r="BG8" s="230"/>
      <c r="BH8" s="230"/>
      <c r="BI8" s="230"/>
      <c r="BJ8" s="230"/>
      <c r="BK8" s="230"/>
      <c r="BL8" s="230"/>
      <c r="BM8" s="230"/>
      <c r="BN8" s="230"/>
      <c r="BO8" s="230"/>
      <c r="BP8" s="230"/>
      <c r="BQ8" s="231"/>
      <c r="BR8" s="221"/>
      <c r="BS8" s="221"/>
    </row>
    <row r="9" spans="6:71">
      <c r="F9" s="405" t="s">
        <v>225</v>
      </c>
      <c r="G9" s="406"/>
      <c r="H9" s="406"/>
      <c r="I9" s="406"/>
      <c r="J9" s="406"/>
      <c r="K9" s="406"/>
      <c r="L9" s="406"/>
      <c r="M9" s="407"/>
      <c r="N9" s="221"/>
      <c r="O9" s="221"/>
      <c r="P9" s="221"/>
      <c r="Q9" s="232"/>
      <c r="R9" s="430" t="str">
        <f ca="1">'Value Tree 1 - Fx'!R9</f>
        <v>RECALC_1_76_</v>
      </c>
      <c r="S9" s="431"/>
      <c r="T9" s="431"/>
      <c r="U9" s="233"/>
      <c r="V9" s="430" t="str">
        <f ca="1">'Value Tree 1 - Fx'!V9</f>
        <v>RECALC_1_84_</v>
      </c>
      <c r="W9" s="431"/>
      <c r="X9" s="433"/>
      <c r="Y9" s="221"/>
      <c r="Z9" s="234"/>
      <c r="AA9" s="235"/>
      <c r="AB9" s="236"/>
      <c r="AC9" s="426" t="str">
        <f ca="1">'Value Tree 1 - Fx'!AC9</f>
        <v>RECALC_1_20_</v>
      </c>
      <c r="AD9" s="427"/>
      <c r="AE9" s="429"/>
      <c r="AF9" s="426">
        <f>'Value Tree 1 - Fx'!AF9</f>
        <v>0</v>
      </c>
      <c r="AG9" s="427"/>
      <c r="AH9" s="427"/>
      <c r="AI9" s="237"/>
      <c r="AJ9" s="426" t="str">
        <f ca="1">'Value Tree 1 - Fx'!AJ9</f>
        <v>RECALC_1_22_</v>
      </c>
      <c r="AK9" s="427"/>
      <c r="AL9" s="429"/>
      <c r="AM9" s="440">
        <f>'Value Tree 1 - Fx'!AM9</f>
        <v>0</v>
      </c>
      <c r="AN9" s="427"/>
      <c r="AO9" s="429"/>
      <c r="AP9" s="221"/>
      <c r="AQ9" s="221"/>
      <c r="AR9" s="238"/>
      <c r="AS9" s="415" t="s">
        <v>228</v>
      </c>
      <c r="AT9" s="416"/>
      <c r="AU9" s="416"/>
      <c r="AV9" s="416"/>
      <c r="AW9" s="416"/>
      <c r="AX9" s="416"/>
      <c r="AY9" s="239"/>
      <c r="AZ9" s="445" t="str">
        <f ca="1">'Value Tree 1 - Fx'!AZ9</f>
        <v>RECALC_1_32_</v>
      </c>
      <c r="BA9" s="445"/>
      <c r="BB9" s="445"/>
      <c r="BC9" s="240"/>
      <c r="BD9" s="445" t="str">
        <f ca="1">'Value Tree 1 - Fx'!BD9</f>
        <v>RECALC_1_95_</v>
      </c>
      <c r="BE9" s="445"/>
      <c r="BF9" s="448"/>
      <c r="BG9" s="241"/>
      <c r="BH9" s="241"/>
      <c r="BI9" s="241"/>
      <c r="BJ9" s="241"/>
      <c r="BK9" s="241"/>
      <c r="BL9" s="241"/>
      <c r="BM9" s="241"/>
      <c r="BN9" s="241"/>
      <c r="BO9" s="241"/>
      <c r="BP9" s="241"/>
      <c r="BQ9" s="242"/>
      <c r="BR9" s="221"/>
      <c r="BS9" s="221"/>
    </row>
    <row r="10" spans="6:71">
      <c r="F10" s="222"/>
      <c r="G10" s="424" t="e">
        <f ca="1">'Value Tree 1 - Fx'!G10</f>
        <v>#VALUE!</v>
      </c>
      <c r="H10" s="425"/>
      <c r="I10" s="425"/>
      <c r="J10" s="223"/>
      <c r="K10" s="424" t="e">
        <f ca="1">'Value Tree 1 - Fx'!K10</f>
        <v>#VALUE!</v>
      </c>
      <c r="L10" s="425"/>
      <c r="M10" s="432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43"/>
      <c r="Z10" s="221"/>
      <c r="AA10" s="244"/>
      <c r="AB10" s="405" t="s">
        <v>246</v>
      </c>
      <c r="AC10" s="406"/>
      <c r="AD10" s="406"/>
      <c r="AE10" s="406"/>
      <c r="AF10" s="406"/>
      <c r="AG10" s="406"/>
      <c r="AH10" s="406"/>
      <c r="AI10" s="406"/>
      <c r="AJ10" s="406"/>
      <c r="AK10" s="406"/>
      <c r="AL10" s="406"/>
      <c r="AM10" s="406"/>
      <c r="AN10" s="406"/>
      <c r="AO10" s="407"/>
      <c r="AP10" s="245"/>
      <c r="AQ10" s="246"/>
      <c r="AR10" s="247"/>
      <c r="AS10" s="417" t="s">
        <v>229</v>
      </c>
      <c r="AT10" s="418"/>
      <c r="AU10" s="418"/>
      <c r="AV10" s="418"/>
      <c r="AW10" s="418"/>
      <c r="AX10" s="418"/>
      <c r="AY10" s="240"/>
      <c r="AZ10" s="435" t="str">
        <f ca="1">'Value Tree 1 - Fx'!AZ10</f>
        <v>RECALC_1_41_</v>
      </c>
      <c r="BA10" s="435"/>
      <c r="BB10" s="435"/>
      <c r="BC10" s="240"/>
      <c r="BD10" s="435" t="str">
        <f ca="1">'Value Tree 1 - Fx'!BD10</f>
        <v>RECALC_1_39_</v>
      </c>
      <c r="BE10" s="435"/>
      <c r="BF10" s="436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2"/>
      <c r="BR10" s="221"/>
      <c r="BS10" s="221"/>
    </row>
    <row r="11" spans="6:71">
      <c r="F11" s="232"/>
      <c r="G11" s="430" t="e">
        <f ca="1">'Value Tree 1 - Fx'!G11</f>
        <v>#VALUE!</v>
      </c>
      <c r="H11" s="431"/>
      <c r="I11" s="431"/>
      <c r="J11" s="233"/>
      <c r="K11" s="430" t="e">
        <f ca="1">'Value Tree 1 - Fx'!K11</f>
        <v>#VALUE!</v>
      </c>
      <c r="L11" s="431"/>
      <c r="M11" s="433"/>
      <c r="N11" s="248"/>
      <c r="O11" s="234"/>
      <c r="P11" s="235"/>
      <c r="Q11" s="405" t="s">
        <v>248</v>
      </c>
      <c r="R11" s="406"/>
      <c r="S11" s="406"/>
      <c r="T11" s="406"/>
      <c r="U11" s="406"/>
      <c r="V11" s="406"/>
      <c r="W11" s="406"/>
      <c r="X11" s="407"/>
      <c r="Y11" s="243"/>
      <c r="Z11" s="221"/>
      <c r="AA11" s="221"/>
      <c r="AB11" s="224"/>
      <c r="AC11" s="434">
        <f>'Value Tree 1 - Fx'!AC11</f>
        <v>0</v>
      </c>
      <c r="AD11" s="435"/>
      <c r="AE11" s="436"/>
      <c r="AF11" s="437">
        <f>'Value Tree 1 - Fx'!AF11</f>
        <v>0</v>
      </c>
      <c r="AG11" s="423"/>
      <c r="AH11" s="438"/>
      <c r="AI11" s="226"/>
      <c r="AJ11" s="434">
        <f>'Value Tree 1 - Fx'!AJ11</f>
        <v>0</v>
      </c>
      <c r="AK11" s="435"/>
      <c r="AL11" s="436"/>
      <c r="AM11" s="439">
        <f>'Value Tree 1 - Fx'!AM11</f>
        <v>0</v>
      </c>
      <c r="AN11" s="435"/>
      <c r="AO11" s="436"/>
      <c r="AP11" s="221"/>
      <c r="AQ11" s="221"/>
      <c r="AR11" s="238"/>
      <c r="AS11" s="415" t="s">
        <v>230</v>
      </c>
      <c r="AT11" s="416"/>
      <c r="AU11" s="416"/>
      <c r="AV11" s="416"/>
      <c r="AW11" s="416"/>
      <c r="AX11" s="416"/>
      <c r="AY11" s="239"/>
      <c r="AZ11" s="445" t="str">
        <f ca="1">'Value Tree 1 - Fx'!AZ11</f>
        <v>RECALC_1_65_</v>
      </c>
      <c r="BA11" s="445"/>
      <c r="BB11" s="445"/>
      <c r="BC11" s="240"/>
      <c r="BD11" s="445" t="str">
        <f ca="1">'Value Tree 1 - Fx'!BD11</f>
        <v>RECALC_1_105_</v>
      </c>
      <c r="BE11" s="445"/>
      <c r="BF11" s="448"/>
      <c r="BG11" s="241"/>
      <c r="BH11" s="241"/>
      <c r="BI11" s="241"/>
      <c r="BJ11" s="241"/>
      <c r="BK11" s="241"/>
      <c r="BL11" s="241"/>
      <c r="BM11" s="241"/>
      <c r="BN11" s="241"/>
      <c r="BO11" s="241"/>
      <c r="BP11" s="241"/>
      <c r="BQ11" s="242"/>
      <c r="BR11" s="221"/>
      <c r="BS11" s="221"/>
    </row>
    <row r="12" spans="6:71"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2"/>
      <c r="R12" s="424" t="str">
        <f ca="1">'Value Tree 1 - Fx'!R12</f>
        <v>RECALC_1_117_</v>
      </c>
      <c r="S12" s="425"/>
      <c r="T12" s="425"/>
      <c r="U12" s="223"/>
      <c r="V12" s="424" t="str">
        <f ca="1">'Value Tree 1 - Fx'!V12</f>
        <v>RECALC_1_29_</v>
      </c>
      <c r="W12" s="425"/>
      <c r="X12" s="432"/>
      <c r="Y12" s="243"/>
      <c r="Z12" s="221"/>
      <c r="AA12" s="221"/>
      <c r="AB12" s="236"/>
      <c r="AC12" s="426">
        <f>'Value Tree 1 - Fx'!AC12</f>
        <v>0</v>
      </c>
      <c r="AD12" s="427"/>
      <c r="AE12" s="429"/>
      <c r="AF12" s="426">
        <f>'Value Tree 1 - Fx'!AF12</f>
        <v>0</v>
      </c>
      <c r="AG12" s="427"/>
      <c r="AH12" s="427"/>
      <c r="AI12" s="237"/>
      <c r="AJ12" s="426">
        <f>'Value Tree 1 - Fx'!AJ12</f>
        <v>0</v>
      </c>
      <c r="AK12" s="427"/>
      <c r="AL12" s="429"/>
      <c r="AM12" s="440">
        <f>'Value Tree 1 - Fx'!AM12</f>
        <v>0</v>
      </c>
      <c r="AN12" s="427"/>
      <c r="AO12" s="429"/>
      <c r="AP12" s="221"/>
      <c r="AQ12" s="221"/>
      <c r="AR12" s="238"/>
      <c r="AS12" s="417" t="s">
        <v>231</v>
      </c>
      <c r="AT12" s="418"/>
      <c r="AU12" s="418"/>
      <c r="AV12" s="418"/>
      <c r="AW12" s="418"/>
      <c r="AX12" s="418"/>
      <c r="AY12" s="240"/>
      <c r="AZ12" s="435" t="str">
        <f ca="1">'Value Tree 1 - Fx'!AZ12</f>
        <v>RECALC_1_99_</v>
      </c>
      <c r="BA12" s="435"/>
      <c r="BB12" s="435"/>
      <c r="BC12" s="240"/>
      <c r="BD12" s="435" t="str">
        <f ca="1">'Value Tree 1 - Fx'!BD12</f>
        <v>RECALC_1_102_</v>
      </c>
      <c r="BE12" s="435"/>
      <c r="BF12" s="436"/>
      <c r="BG12" s="241"/>
      <c r="BH12" s="241"/>
      <c r="BI12" s="241"/>
      <c r="BJ12" s="241"/>
      <c r="BK12" s="241"/>
      <c r="BL12" s="241"/>
      <c r="BM12" s="241"/>
      <c r="BN12" s="241"/>
      <c r="BO12" s="241"/>
      <c r="BP12" s="241"/>
      <c r="BQ12" s="242"/>
      <c r="BR12" s="221"/>
      <c r="BS12" s="221"/>
    </row>
    <row r="13" spans="6:71">
      <c r="F13" s="405" t="s">
        <v>255</v>
      </c>
      <c r="G13" s="406"/>
      <c r="H13" s="406"/>
      <c r="I13" s="406"/>
      <c r="J13" s="406"/>
      <c r="K13" s="406"/>
      <c r="L13" s="406"/>
      <c r="M13" s="407"/>
      <c r="N13" s="221"/>
      <c r="O13" s="221"/>
      <c r="P13" s="235"/>
      <c r="Q13" s="232"/>
      <c r="R13" s="430" t="str">
        <f ca="1">'Value Tree 1 - Fx'!R13</f>
        <v>RECALC_1_119_</v>
      </c>
      <c r="S13" s="431"/>
      <c r="T13" s="431"/>
      <c r="U13" s="233"/>
      <c r="V13" s="430" t="str">
        <f ca="1">'Value Tree 1 - Fx'!V13</f>
        <v>RECALC_1_27_</v>
      </c>
      <c r="W13" s="431"/>
      <c r="X13" s="433"/>
      <c r="Y13" s="249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38"/>
      <c r="AS13" s="415" t="s">
        <v>232</v>
      </c>
      <c r="AT13" s="416"/>
      <c r="AU13" s="416"/>
      <c r="AV13" s="416"/>
      <c r="AW13" s="416"/>
      <c r="AX13" s="416"/>
      <c r="AY13" s="240"/>
      <c r="AZ13" s="445" t="str">
        <f ca="1">'Value Tree 1 - Fx'!AZ13</f>
        <v>RECALC_1_43_</v>
      </c>
      <c r="BA13" s="445"/>
      <c r="BB13" s="445"/>
      <c r="BC13" s="240"/>
      <c r="BD13" s="445" t="str">
        <f ca="1">'Value Tree 1 - Fx'!BD13</f>
        <v>RECALC_1_71_</v>
      </c>
      <c r="BE13" s="445"/>
      <c r="BF13" s="448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2"/>
      <c r="BR13" s="221"/>
      <c r="BS13" s="221"/>
    </row>
    <row r="14" spans="6:71">
      <c r="F14" s="250"/>
      <c r="G14" s="424" t="str">
        <f ca="1">'Value Tree 1 - Fx'!G14</f>
        <v>RECALC_1_59_</v>
      </c>
      <c r="H14" s="425"/>
      <c r="I14" s="425"/>
      <c r="J14" s="251"/>
      <c r="K14" s="424" t="str">
        <f ca="1">'Value Tree 1 - Fx'!K14</f>
        <v>RECALC_1_98_</v>
      </c>
      <c r="L14" s="425"/>
      <c r="M14" s="432"/>
      <c r="N14" s="221"/>
      <c r="O14" s="243"/>
      <c r="P14" s="221"/>
      <c r="Q14" s="221"/>
      <c r="R14" s="221"/>
      <c r="S14" s="221"/>
      <c r="T14" s="221"/>
      <c r="U14" s="221"/>
      <c r="V14" s="221"/>
      <c r="W14" s="221"/>
      <c r="X14" s="221"/>
      <c r="Y14" s="243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38"/>
      <c r="AS14" s="419" t="s">
        <v>233</v>
      </c>
      <c r="AT14" s="420"/>
      <c r="AU14" s="420"/>
      <c r="AV14" s="420"/>
      <c r="AW14" s="420"/>
      <c r="AX14" s="420"/>
      <c r="AY14" s="252"/>
      <c r="AZ14" s="447" t="str">
        <f ca="1">'Value Tree 1 - Fx'!AZ14</f>
        <v>RECALC_1_62_</v>
      </c>
      <c r="BA14" s="447"/>
      <c r="BB14" s="447"/>
      <c r="BC14" s="253"/>
      <c r="BD14" s="447" t="str">
        <f ca="1">'Value Tree 1 - Fx'!BD14</f>
        <v>RECALC_1_34_</v>
      </c>
      <c r="BE14" s="447"/>
      <c r="BF14" s="449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2"/>
      <c r="BR14" s="221"/>
      <c r="BS14" s="221"/>
    </row>
    <row r="15" spans="6:71">
      <c r="F15" s="254"/>
      <c r="G15" s="430" t="str">
        <f ca="1">'Value Tree 1 - Fx'!G15</f>
        <v>RECALC_1_57_</v>
      </c>
      <c r="H15" s="431"/>
      <c r="I15" s="431"/>
      <c r="J15" s="255"/>
      <c r="K15" s="430" t="str">
        <f ca="1">'Value Tree 1 - Fx'!K15</f>
        <v>RECALC_1_44_</v>
      </c>
      <c r="L15" s="431"/>
      <c r="M15" s="433"/>
      <c r="N15" s="221"/>
      <c r="O15" s="243"/>
      <c r="P15" s="221"/>
      <c r="Q15" s="405" t="s">
        <v>249</v>
      </c>
      <c r="R15" s="406"/>
      <c r="S15" s="406"/>
      <c r="T15" s="406"/>
      <c r="U15" s="406"/>
      <c r="V15" s="406"/>
      <c r="W15" s="406"/>
      <c r="X15" s="407"/>
      <c r="Y15" s="243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38"/>
      <c r="AS15" s="241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2"/>
      <c r="BR15" s="221"/>
      <c r="BS15" s="221"/>
    </row>
    <row r="16" spans="6:71">
      <c r="F16" s="221"/>
      <c r="G16" s="221"/>
      <c r="H16" s="221"/>
      <c r="I16" s="221"/>
      <c r="J16" s="221"/>
      <c r="K16" s="221"/>
      <c r="L16" s="221"/>
      <c r="M16" s="221"/>
      <c r="N16" s="221"/>
      <c r="O16" s="243"/>
      <c r="P16" s="221"/>
      <c r="Q16" s="222"/>
      <c r="R16" s="424" t="str">
        <f ca="1">'Value Tree 1 - Fx'!R16</f>
        <v>RECALC_1_36_</v>
      </c>
      <c r="S16" s="425"/>
      <c r="T16" s="425"/>
      <c r="U16" s="223"/>
      <c r="V16" s="424" t="str">
        <f ca="1">'Value Tree 1 - Fx'!V16</f>
        <v>RECALC_1_121_</v>
      </c>
      <c r="W16" s="425"/>
      <c r="X16" s="432"/>
      <c r="Y16" s="243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38"/>
      <c r="AS16" s="241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  <c r="BD16" s="241"/>
      <c r="BE16" s="241"/>
      <c r="BF16" s="241"/>
      <c r="BG16" s="241"/>
      <c r="BH16" s="241"/>
      <c r="BI16" s="241"/>
      <c r="BJ16" s="241"/>
      <c r="BK16" s="241"/>
      <c r="BL16" s="241"/>
      <c r="BM16" s="241"/>
      <c r="BN16" s="241"/>
      <c r="BO16" s="241"/>
      <c r="BP16" s="241"/>
      <c r="BQ16" s="242"/>
      <c r="BR16" s="221"/>
      <c r="BS16" s="221"/>
    </row>
    <row r="17" spans="6:71">
      <c r="F17" s="221"/>
      <c r="G17" s="221"/>
      <c r="H17" s="221"/>
      <c r="I17" s="221"/>
      <c r="J17" s="221"/>
      <c r="K17" s="221"/>
      <c r="L17" s="221"/>
      <c r="M17" s="221"/>
      <c r="N17" s="221"/>
      <c r="O17" s="243"/>
      <c r="P17" s="221"/>
      <c r="Q17" s="232"/>
      <c r="R17" s="430" t="str">
        <f ca="1">'Value Tree 1 - Fx'!R17</f>
        <v>RECALC_1_55_</v>
      </c>
      <c r="S17" s="431"/>
      <c r="T17" s="431"/>
      <c r="U17" s="233"/>
      <c r="V17" s="430" t="str">
        <f ca="1">'Value Tree 1 - Fx'!V17</f>
        <v>RECALC_1_58_</v>
      </c>
      <c r="W17" s="431"/>
      <c r="X17" s="433"/>
      <c r="Y17" s="243"/>
      <c r="Z17" s="221"/>
      <c r="AA17" s="221"/>
      <c r="AB17" s="405" t="s">
        <v>245</v>
      </c>
      <c r="AC17" s="406"/>
      <c r="AD17" s="406"/>
      <c r="AE17" s="406"/>
      <c r="AF17" s="406"/>
      <c r="AG17" s="406"/>
      <c r="AH17" s="406"/>
      <c r="AI17" s="406"/>
      <c r="AJ17" s="406"/>
      <c r="AK17" s="406"/>
      <c r="AL17" s="406"/>
      <c r="AM17" s="406"/>
      <c r="AN17" s="406"/>
      <c r="AO17" s="407"/>
      <c r="AP17" s="221"/>
      <c r="AQ17" s="221"/>
      <c r="AR17" s="238"/>
      <c r="AS17" s="324" t="s">
        <v>257</v>
      </c>
      <c r="AT17" s="325"/>
      <c r="AU17" s="325"/>
      <c r="AV17" s="325"/>
      <c r="AW17" s="325"/>
      <c r="AX17" s="325"/>
      <c r="AY17" s="325"/>
      <c r="AZ17" s="325"/>
      <c r="BA17" s="325"/>
      <c r="BB17" s="325"/>
      <c r="BC17" s="325"/>
      <c r="BD17" s="325"/>
      <c r="BE17" s="325"/>
      <c r="BF17" s="326"/>
      <c r="BG17" s="241"/>
      <c r="BH17" s="241"/>
      <c r="BI17" s="241"/>
      <c r="BJ17" s="241"/>
      <c r="BK17" s="241"/>
      <c r="BL17" s="241"/>
      <c r="BM17" s="241"/>
      <c r="BN17" s="241"/>
      <c r="BO17" s="241"/>
      <c r="BP17" s="241"/>
      <c r="BQ17" s="242"/>
      <c r="BR17" s="221"/>
      <c r="BS17" s="221"/>
    </row>
    <row r="18" spans="6:71">
      <c r="F18" s="221"/>
      <c r="G18" s="221"/>
      <c r="H18" s="221"/>
      <c r="I18" s="221"/>
      <c r="J18" s="221"/>
      <c r="K18" s="221"/>
      <c r="L18" s="221"/>
      <c r="M18" s="221"/>
      <c r="N18" s="221"/>
      <c r="O18" s="243"/>
      <c r="P18" s="221"/>
      <c r="Q18" s="221"/>
      <c r="R18" s="221"/>
      <c r="S18" s="221"/>
      <c r="T18" s="221"/>
      <c r="U18" s="221"/>
      <c r="V18" s="221"/>
      <c r="W18" s="221"/>
      <c r="X18" s="221"/>
      <c r="Y18" s="243"/>
      <c r="Z18" s="234"/>
      <c r="AA18" s="235"/>
      <c r="AB18" s="224"/>
      <c r="AC18" s="434" t="str">
        <f ca="1">'Value Tree 1 - Fx'!AC18</f>
        <v>RECALC_1_17_</v>
      </c>
      <c r="AD18" s="435"/>
      <c r="AE18" s="436"/>
      <c r="AF18" s="437">
        <f>'Value Tree 1 - Fx'!AF18</f>
        <v>0</v>
      </c>
      <c r="AG18" s="423"/>
      <c r="AH18" s="438"/>
      <c r="AI18" s="226"/>
      <c r="AJ18" s="434" t="str">
        <f ca="1">'Value Tree 1 - Fx'!AJ18</f>
        <v>RECALC_1_12_</v>
      </c>
      <c r="AK18" s="435"/>
      <c r="AL18" s="436"/>
      <c r="AM18" s="439">
        <f>'Value Tree 1 - Fx'!AM18</f>
        <v>0</v>
      </c>
      <c r="AN18" s="435"/>
      <c r="AO18" s="436"/>
      <c r="AP18" s="221"/>
      <c r="AQ18" s="221"/>
      <c r="AR18" s="238"/>
      <c r="AS18" s="413" t="s">
        <v>227</v>
      </c>
      <c r="AT18" s="414"/>
      <c r="AU18" s="414"/>
      <c r="AV18" s="414"/>
      <c r="AW18" s="414"/>
      <c r="AX18" s="414"/>
      <c r="AY18" s="228"/>
      <c r="AZ18" s="423" t="str">
        <f ca="1">'Value Tree 1 - Fx'!AZ18</f>
        <v>RECALC_1_91_</v>
      </c>
      <c r="BA18" s="423"/>
      <c r="BB18" s="423"/>
      <c r="BC18" s="228"/>
      <c r="BD18" s="423" t="str">
        <f ca="1">'Value Tree 1 - Fx'!BD18</f>
        <v>RECALC_1_100_</v>
      </c>
      <c r="BE18" s="423"/>
      <c r="BF18" s="428"/>
      <c r="BG18" s="241"/>
      <c r="BH18" s="241"/>
      <c r="BI18" s="241"/>
      <c r="BJ18" s="241"/>
      <c r="BK18" s="241"/>
      <c r="BL18" s="241"/>
      <c r="BM18" s="241"/>
      <c r="BN18" s="241"/>
      <c r="BO18" s="241"/>
      <c r="BP18" s="241"/>
      <c r="BQ18" s="242"/>
      <c r="BR18" s="221"/>
      <c r="BS18" s="221"/>
    </row>
    <row r="19" spans="6:71">
      <c r="F19" s="221"/>
      <c r="G19" s="221"/>
      <c r="H19" s="221"/>
      <c r="I19" s="221"/>
      <c r="J19" s="221"/>
      <c r="K19" s="221"/>
      <c r="L19" s="221"/>
      <c r="M19" s="221"/>
      <c r="N19" s="221"/>
      <c r="O19" s="243"/>
      <c r="P19" s="221"/>
      <c r="Q19" s="221"/>
      <c r="R19" s="221"/>
      <c r="S19" s="221"/>
      <c r="T19" s="221"/>
      <c r="U19" s="221"/>
      <c r="V19" s="221"/>
      <c r="W19" s="221"/>
      <c r="X19" s="221"/>
      <c r="Y19" s="243"/>
      <c r="Z19" s="221"/>
      <c r="AA19" s="221"/>
      <c r="AB19" s="236"/>
      <c r="AC19" s="426" t="str">
        <f ca="1">'Value Tree 1 - Fx'!AC19</f>
        <v>RECALC_1_16_</v>
      </c>
      <c r="AD19" s="427"/>
      <c r="AE19" s="429"/>
      <c r="AF19" s="426">
        <f>'Value Tree 1 - Fx'!AF19</f>
        <v>0</v>
      </c>
      <c r="AG19" s="427"/>
      <c r="AH19" s="427"/>
      <c r="AI19" s="237"/>
      <c r="AJ19" s="426" t="str">
        <f ca="1">'Value Tree 1 - Fx'!AJ19</f>
        <v>RECALC_1_13_</v>
      </c>
      <c r="AK19" s="427"/>
      <c r="AL19" s="429"/>
      <c r="AM19" s="440">
        <f>'Value Tree 1 - Fx'!AM19</f>
        <v>0</v>
      </c>
      <c r="AN19" s="427"/>
      <c r="AO19" s="429"/>
      <c r="AP19" s="245"/>
      <c r="AQ19" s="246"/>
      <c r="AR19" s="247"/>
      <c r="AS19" s="415" t="s">
        <v>228</v>
      </c>
      <c r="AT19" s="416"/>
      <c r="AU19" s="416"/>
      <c r="AV19" s="416"/>
      <c r="AW19" s="416"/>
      <c r="AX19" s="416"/>
      <c r="AY19" s="256"/>
      <c r="AZ19" s="445" t="str">
        <f ca="1">'Value Tree 1 - Fx'!AZ19</f>
        <v>RECALC_1_66_</v>
      </c>
      <c r="BA19" s="445"/>
      <c r="BB19" s="445"/>
      <c r="BC19" s="256"/>
      <c r="BD19" s="445" t="str">
        <f ca="1">'Value Tree 1 - Fx'!BD19</f>
        <v>RECALC_1_56_</v>
      </c>
      <c r="BE19" s="445"/>
      <c r="BF19" s="448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2"/>
      <c r="BR19" s="221"/>
      <c r="BS19" s="221"/>
    </row>
    <row r="20" spans="6:71">
      <c r="F20" s="221"/>
      <c r="G20" s="221"/>
      <c r="H20" s="221"/>
      <c r="I20" s="221"/>
      <c r="J20" s="221"/>
      <c r="K20" s="221"/>
      <c r="L20" s="221"/>
      <c r="M20" s="221"/>
      <c r="N20" s="221"/>
      <c r="O20" s="243"/>
      <c r="P20" s="221"/>
      <c r="Q20" s="405" t="s">
        <v>250</v>
      </c>
      <c r="R20" s="406"/>
      <c r="S20" s="406"/>
      <c r="T20" s="406"/>
      <c r="U20" s="406"/>
      <c r="V20" s="406"/>
      <c r="W20" s="406"/>
      <c r="X20" s="407"/>
      <c r="Y20" s="243"/>
      <c r="Z20" s="221"/>
      <c r="AA20" s="221"/>
      <c r="AB20" s="405" t="s">
        <v>244</v>
      </c>
      <c r="AC20" s="406"/>
      <c r="AD20" s="406"/>
      <c r="AE20" s="406"/>
      <c r="AF20" s="406"/>
      <c r="AG20" s="406"/>
      <c r="AH20" s="406"/>
      <c r="AI20" s="406"/>
      <c r="AJ20" s="406"/>
      <c r="AK20" s="406"/>
      <c r="AL20" s="406"/>
      <c r="AM20" s="406"/>
      <c r="AN20" s="406"/>
      <c r="AO20" s="407"/>
      <c r="AP20" s="221"/>
      <c r="AQ20" s="221"/>
      <c r="AR20" s="238"/>
      <c r="AS20" s="417" t="s">
        <v>229</v>
      </c>
      <c r="AT20" s="418"/>
      <c r="AU20" s="418"/>
      <c r="AV20" s="418"/>
      <c r="AW20" s="418"/>
      <c r="AX20" s="418"/>
      <c r="AY20" s="256"/>
      <c r="AZ20" s="435" t="str">
        <f ca="1">'Value Tree 1 - Fx'!AZ20</f>
        <v>RECALC_1_104_</v>
      </c>
      <c r="BA20" s="435"/>
      <c r="BB20" s="435"/>
      <c r="BC20" s="256"/>
      <c r="BD20" s="435" t="str">
        <f ca="1">'Value Tree 1 - Fx'!BD20</f>
        <v>RECALC_1_60_</v>
      </c>
      <c r="BE20" s="435"/>
      <c r="BF20" s="436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2"/>
      <c r="BR20" s="221"/>
      <c r="BS20" s="221"/>
    </row>
    <row r="21" spans="6:71">
      <c r="F21" s="221"/>
      <c r="G21" s="221"/>
      <c r="H21" s="221"/>
      <c r="I21" s="221"/>
      <c r="J21" s="221"/>
      <c r="K21" s="221"/>
      <c r="L21" s="221"/>
      <c r="M21" s="221"/>
      <c r="N21" s="221"/>
      <c r="O21" s="243"/>
      <c r="P21" s="235"/>
      <c r="Q21" s="222"/>
      <c r="R21" s="424" t="str">
        <f ca="1">'Value Tree 1 - Fx'!R21</f>
        <v>RECALC_1_69_</v>
      </c>
      <c r="S21" s="425"/>
      <c r="T21" s="425"/>
      <c r="U21" s="257"/>
      <c r="V21" s="424" t="str">
        <f ca="1">'Value Tree 1 - Fx'!V21</f>
        <v>RECALC_1_49_</v>
      </c>
      <c r="W21" s="425"/>
      <c r="X21" s="432"/>
      <c r="Y21" s="243"/>
      <c r="Z21" s="221"/>
      <c r="AA21" s="221"/>
      <c r="AB21" s="224"/>
      <c r="AC21" s="434">
        <f>'Value Tree 1 - Fx'!AC21</f>
        <v>0</v>
      </c>
      <c r="AD21" s="435"/>
      <c r="AE21" s="436"/>
      <c r="AF21" s="437">
        <f>'Value Tree 1 - Fx'!AF21</f>
        <v>0</v>
      </c>
      <c r="AG21" s="423"/>
      <c r="AH21" s="438"/>
      <c r="AI21" s="226"/>
      <c r="AJ21" s="434">
        <f>'Value Tree 1 - Fx'!AJ21</f>
        <v>0</v>
      </c>
      <c r="AK21" s="435"/>
      <c r="AL21" s="436"/>
      <c r="AM21" s="439">
        <f>'Value Tree 1 - Fx'!AM21</f>
        <v>0</v>
      </c>
      <c r="AN21" s="435"/>
      <c r="AO21" s="436"/>
      <c r="AP21" s="221"/>
      <c r="AQ21" s="221"/>
      <c r="AR21" s="238"/>
      <c r="AS21" s="421" t="s">
        <v>235</v>
      </c>
      <c r="AT21" s="422"/>
      <c r="AU21" s="422"/>
      <c r="AV21" s="422"/>
      <c r="AW21" s="422"/>
      <c r="AX21" s="422"/>
      <c r="AY21" s="252"/>
      <c r="AZ21" s="427" t="str">
        <f ca="1">'Value Tree 1 - Fx'!AZ21</f>
        <v>RECALC_1_68_</v>
      </c>
      <c r="BA21" s="427"/>
      <c r="BB21" s="427"/>
      <c r="BC21" s="252"/>
      <c r="BD21" s="427" t="str">
        <f ca="1">'Value Tree 1 - Fx'!BD21</f>
        <v>RECALC_1_63_</v>
      </c>
      <c r="BE21" s="427"/>
      <c r="BF21" s="429"/>
      <c r="BG21" s="241"/>
      <c r="BH21" s="241"/>
      <c r="BI21" s="241"/>
      <c r="BJ21" s="241"/>
      <c r="BK21" s="241"/>
      <c r="BL21" s="241"/>
      <c r="BM21" s="241"/>
      <c r="BN21" s="241"/>
      <c r="BO21" s="241"/>
      <c r="BP21" s="241"/>
      <c r="BQ21" s="242"/>
      <c r="BR21" s="221"/>
      <c r="BS21" s="221"/>
    </row>
    <row r="22" spans="6:71">
      <c r="F22" s="221"/>
      <c r="G22" s="221"/>
      <c r="H22" s="221"/>
      <c r="I22" s="221"/>
      <c r="J22" s="221"/>
      <c r="K22" s="221"/>
      <c r="L22" s="221"/>
      <c r="M22" s="221"/>
      <c r="N22" s="221"/>
      <c r="O22" s="243"/>
      <c r="P22" s="221"/>
      <c r="Q22" s="232"/>
      <c r="R22" s="430" t="str">
        <f ca="1">'Value Tree 1 - Fx'!R22</f>
        <v>RECALC_1_90_</v>
      </c>
      <c r="S22" s="431"/>
      <c r="T22" s="431"/>
      <c r="U22" s="258"/>
      <c r="V22" s="430" t="str">
        <f ca="1">'Value Tree 1 - Fx'!V22</f>
        <v>RECALC_1_126_</v>
      </c>
      <c r="W22" s="431"/>
      <c r="X22" s="433"/>
      <c r="Y22" s="243"/>
      <c r="Z22" s="221"/>
      <c r="AA22" s="221"/>
      <c r="AB22" s="236"/>
      <c r="AC22" s="426">
        <f>'Value Tree 1 - Fx'!AC22</f>
        <v>0</v>
      </c>
      <c r="AD22" s="427"/>
      <c r="AE22" s="429"/>
      <c r="AF22" s="426">
        <f>'Value Tree 1 - Fx'!AF22</f>
        <v>0</v>
      </c>
      <c r="AG22" s="427"/>
      <c r="AH22" s="427"/>
      <c r="AI22" s="237"/>
      <c r="AJ22" s="426">
        <f>'Value Tree 1 - Fx'!AJ22</f>
        <v>0</v>
      </c>
      <c r="AK22" s="427"/>
      <c r="AL22" s="429"/>
      <c r="AM22" s="440">
        <f>'Value Tree 1 - Fx'!AM22</f>
        <v>0</v>
      </c>
      <c r="AN22" s="427"/>
      <c r="AO22" s="429"/>
      <c r="AP22" s="221"/>
      <c r="AQ22" s="221"/>
      <c r="AR22" s="238"/>
      <c r="AS22" s="241"/>
      <c r="AT22" s="241"/>
      <c r="AU22" s="241"/>
      <c r="AV22" s="241"/>
      <c r="AW22" s="241"/>
      <c r="AX22" s="241"/>
      <c r="AY22" s="241"/>
      <c r="AZ22" s="241"/>
      <c r="BA22" s="241"/>
      <c r="BB22" s="241"/>
      <c r="BC22" s="241"/>
      <c r="BD22" s="241"/>
      <c r="BE22" s="241"/>
      <c r="BF22" s="241"/>
      <c r="BG22" s="241"/>
      <c r="BH22" s="241"/>
      <c r="BI22" s="241"/>
      <c r="BJ22" s="241"/>
      <c r="BK22" s="241"/>
      <c r="BL22" s="241"/>
      <c r="BM22" s="241"/>
      <c r="BN22" s="241"/>
      <c r="BO22" s="241"/>
      <c r="BP22" s="241"/>
      <c r="BQ22" s="242"/>
      <c r="BR22" s="221"/>
      <c r="BS22" s="221"/>
    </row>
    <row r="23" spans="6:71">
      <c r="F23" s="221"/>
      <c r="G23" s="221"/>
      <c r="H23" s="221"/>
      <c r="I23" s="221"/>
      <c r="J23" s="221"/>
      <c r="K23" s="221"/>
      <c r="L23" s="221"/>
      <c r="M23" s="221"/>
      <c r="N23" s="221"/>
      <c r="O23" s="243"/>
      <c r="P23" s="221"/>
      <c r="Q23" s="221"/>
      <c r="R23" s="221"/>
      <c r="S23" s="221"/>
      <c r="T23" s="221"/>
      <c r="U23" s="221"/>
      <c r="V23" s="221"/>
      <c r="W23" s="221"/>
      <c r="X23" s="221"/>
      <c r="Y23" s="243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1"/>
      <c r="AQ23" s="221"/>
      <c r="AR23" s="238"/>
      <c r="AS23" s="241"/>
      <c r="AT23" s="241"/>
      <c r="AU23" s="241"/>
      <c r="AV23" s="241"/>
      <c r="AW23" s="241"/>
      <c r="AX23" s="241"/>
      <c r="AY23" s="241"/>
      <c r="AZ23" s="241"/>
      <c r="BA23" s="241"/>
      <c r="BB23" s="241"/>
      <c r="BC23" s="241"/>
      <c r="BD23" s="241"/>
      <c r="BE23" s="241"/>
      <c r="BF23" s="241"/>
      <c r="BG23" s="241"/>
      <c r="BH23" s="241"/>
      <c r="BI23" s="241"/>
      <c r="BJ23" s="241"/>
      <c r="BK23" s="241"/>
      <c r="BL23" s="241"/>
      <c r="BM23" s="241"/>
      <c r="BN23" s="241"/>
      <c r="BO23" s="241"/>
      <c r="BP23" s="241"/>
      <c r="BQ23" s="242"/>
      <c r="BR23" s="221"/>
      <c r="BS23" s="221"/>
    </row>
    <row r="24" spans="6:71">
      <c r="F24" s="405" t="s">
        <v>254</v>
      </c>
      <c r="G24" s="406"/>
      <c r="H24" s="406"/>
      <c r="I24" s="406"/>
      <c r="J24" s="406"/>
      <c r="K24" s="406"/>
      <c r="L24" s="406"/>
      <c r="M24" s="407"/>
      <c r="N24" s="221"/>
      <c r="O24" s="243"/>
      <c r="P24" s="221"/>
      <c r="Q24" s="405" t="s">
        <v>251</v>
      </c>
      <c r="R24" s="406"/>
      <c r="S24" s="406"/>
      <c r="T24" s="406"/>
      <c r="U24" s="406"/>
      <c r="V24" s="406"/>
      <c r="W24" s="406"/>
      <c r="X24" s="407"/>
      <c r="Y24" s="243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1"/>
      <c r="AO24" s="221"/>
      <c r="AP24" s="221"/>
      <c r="AQ24" s="221"/>
      <c r="AR24" s="238"/>
      <c r="AS24" s="241"/>
      <c r="AT24" s="241"/>
      <c r="AU24" s="241"/>
      <c r="AV24" s="241"/>
      <c r="AW24" s="241"/>
      <c r="AX24" s="241"/>
      <c r="AY24" s="241"/>
      <c r="AZ24" s="241"/>
      <c r="BA24" s="241"/>
      <c r="BB24" s="241"/>
      <c r="BC24" s="241"/>
      <c r="BD24" s="241"/>
      <c r="BE24" s="241"/>
      <c r="BF24" s="241"/>
      <c r="BG24" s="241"/>
      <c r="BH24" s="241"/>
      <c r="BI24" s="241"/>
      <c r="BJ24" s="241"/>
      <c r="BK24" s="241"/>
      <c r="BL24" s="241"/>
      <c r="BM24" s="241"/>
      <c r="BN24" s="241"/>
      <c r="BO24" s="241"/>
      <c r="BP24" s="241"/>
      <c r="BQ24" s="242"/>
      <c r="BR24" s="221"/>
      <c r="BS24" s="221"/>
    </row>
    <row r="25" spans="6:71">
      <c r="F25" s="222"/>
      <c r="G25" s="424" t="str">
        <f ca="1">'Value Tree 1 - Fx'!G25</f>
        <v>RECALC_1_96_</v>
      </c>
      <c r="H25" s="425"/>
      <c r="I25" s="425"/>
      <c r="J25" s="223"/>
      <c r="K25" s="424" t="str">
        <f ca="1">'Value Tree 1 - Fx'!K25</f>
        <v>RECALC_1_125_</v>
      </c>
      <c r="L25" s="425"/>
      <c r="M25" s="432"/>
      <c r="N25" s="221"/>
      <c r="O25" s="243"/>
      <c r="P25" s="221"/>
      <c r="Q25" s="250"/>
      <c r="R25" s="424" t="str">
        <f ca="1">'Value Tree 1 - Fx'!R25</f>
        <v>RECALC_1_38_</v>
      </c>
      <c r="S25" s="425"/>
      <c r="T25" s="425"/>
      <c r="U25" s="223"/>
      <c r="V25" s="424" t="str">
        <f ca="1">'Value Tree 1 - Fx'!V25</f>
        <v>RECALC_1_54_</v>
      </c>
      <c r="W25" s="425"/>
      <c r="X25" s="432"/>
      <c r="Y25" s="243"/>
      <c r="Z25" s="221"/>
      <c r="AA25" s="221"/>
      <c r="AB25" s="405" t="s">
        <v>243</v>
      </c>
      <c r="AC25" s="406"/>
      <c r="AD25" s="406"/>
      <c r="AE25" s="406"/>
      <c r="AF25" s="406"/>
      <c r="AG25" s="406"/>
      <c r="AH25" s="406"/>
      <c r="AI25" s="406"/>
      <c r="AJ25" s="406"/>
      <c r="AK25" s="406"/>
      <c r="AL25" s="406"/>
      <c r="AM25" s="406"/>
      <c r="AN25" s="406"/>
      <c r="AO25" s="407"/>
      <c r="AP25" s="221"/>
      <c r="AQ25" s="221"/>
      <c r="AR25" s="238"/>
      <c r="AS25" s="324" t="s">
        <v>267</v>
      </c>
      <c r="AT25" s="325"/>
      <c r="AU25" s="325"/>
      <c r="AV25" s="325"/>
      <c r="AW25" s="325"/>
      <c r="AX25" s="325"/>
      <c r="AY25" s="325"/>
      <c r="AZ25" s="325"/>
      <c r="BA25" s="325"/>
      <c r="BB25" s="325"/>
      <c r="BC25" s="325"/>
      <c r="BD25" s="325"/>
      <c r="BE25" s="325"/>
      <c r="BF25" s="326"/>
      <c r="BG25" s="241"/>
      <c r="BH25" s="321" t="s">
        <v>268</v>
      </c>
      <c r="BI25" s="322"/>
      <c r="BJ25" s="322"/>
      <c r="BK25" s="322"/>
      <c r="BL25" s="322"/>
      <c r="BM25" s="322"/>
      <c r="BN25" s="322"/>
      <c r="BO25" s="323"/>
      <c r="BP25" s="259"/>
      <c r="BQ25" s="242"/>
      <c r="BR25" s="221"/>
      <c r="BS25" s="221"/>
    </row>
    <row r="26" spans="6:71">
      <c r="F26" s="232"/>
      <c r="G26" s="430" t="str">
        <f ca="1">'Value Tree 1 - Fx'!G26</f>
        <v>RECALC_1_51_</v>
      </c>
      <c r="H26" s="431"/>
      <c r="I26" s="431"/>
      <c r="J26" s="233"/>
      <c r="K26" s="430" t="str">
        <f ca="1">'Value Tree 1 - Fx'!K26</f>
        <v>RECALC_1_40_</v>
      </c>
      <c r="L26" s="431"/>
      <c r="M26" s="433"/>
      <c r="N26" s="248"/>
      <c r="O26" s="235"/>
      <c r="P26" s="235"/>
      <c r="Q26" s="254"/>
      <c r="R26" s="430" t="str">
        <f ca="1">'Value Tree 1 - Fx'!R26</f>
        <v>RECALC_1_64_</v>
      </c>
      <c r="S26" s="431"/>
      <c r="T26" s="431"/>
      <c r="U26" s="233"/>
      <c r="V26" s="430" t="str">
        <f ca="1">'Value Tree 1 - Fx'!V26</f>
        <v>RECALC_1_46_</v>
      </c>
      <c r="W26" s="431"/>
      <c r="X26" s="433"/>
      <c r="Y26" s="243"/>
      <c r="Z26" s="234"/>
      <c r="AA26" s="235"/>
      <c r="AB26" s="222"/>
      <c r="AC26" s="434">
        <f>'Value Tree 1 - Fx'!AC26</f>
        <v>0</v>
      </c>
      <c r="AD26" s="435"/>
      <c r="AE26" s="436"/>
      <c r="AF26" s="437">
        <f>'Value Tree 1 - Fx'!AF26</f>
        <v>0</v>
      </c>
      <c r="AG26" s="423"/>
      <c r="AH26" s="423"/>
      <c r="AI26" s="257"/>
      <c r="AJ26" s="434">
        <f>'Value Tree 1 - Fx'!AJ26</f>
        <v>0</v>
      </c>
      <c r="AK26" s="435"/>
      <c r="AL26" s="436"/>
      <c r="AM26" s="439">
        <f>'Value Tree 1 - Fx'!AM26</f>
        <v>0</v>
      </c>
      <c r="AN26" s="435"/>
      <c r="AO26" s="436"/>
      <c r="AP26" s="221"/>
      <c r="AQ26" s="221"/>
      <c r="AR26" s="238"/>
      <c r="AS26" s="413" t="s">
        <v>236</v>
      </c>
      <c r="AT26" s="414"/>
      <c r="AU26" s="414"/>
      <c r="AV26" s="414"/>
      <c r="AW26" s="414"/>
      <c r="AX26" s="414"/>
      <c r="AY26" s="229"/>
      <c r="AZ26" s="423" t="str">
        <f ca="1">'Value Tree 1 - Fx'!AZ26</f>
        <v>RECALC_1_50_</v>
      </c>
      <c r="BA26" s="423"/>
      <c r="BB26" s="423"/>
      <c r="BC26" s="229"/>
      <c r="BD26" s="423" t="str">
        <f ca="1">'Value Tree 1 - Fx'!BD26</f>
        <v>RECALC_1_42_</v>
      </c>
      <c r="BE26" s="423"/>
      <c r="BF26" s="428"/>
      <c r="BG26" s="241"/>
      <c r="BH26" s="260"/>
      <c r="BI26" s="442" t="str">
        <f ca="1">'Value Tree 1 - Fx'!BI26</f>
        <v>RECALC_1_86_</v>
      </c>
      <c r="BJ26" s="423"/>
      <c r="BK26" s="423"/>
      <c r="BL26" s="229"/>
      <c r="BM26" s="442" t="str">
        <f ca="1">'Value Tree 1 - Fx'!BM26</f>
        <v>RECALC_1_28_</v>
      </c>
      <c r="BN26" s="423"/>
      <c r="BO26" s="428"/>
      <c r="BP26" s="241"/>
      <c r="BQ26" s="242"/>
      <c r="BR26" s="221"/>
      <c r="BS26" s="221"/>
    </row>
    <row r="27" spans="6:71">
      <c r="F27" s="221"/>
      <c r="G27" s="221"/>
      <c r="H27" s="221"/>
      <c r="I27" s="221"/>
      <c r="J27" s="221"/>
      <c r="K27" s="221"/>
      <c r="L27" s="221"/>
      <c r="M27" s="221"/>
      <c r="N27" s="221"/>
      <c r="O27" s="243"/>
      <c r="P27" s="221"/>
      <c r="Q27" s="221"/>
      <c r="R27" s="221"/>
      <c r="S27" s="221"/>
      <c r="T27" s="221"/>
      <c r="U27" s="221"/>
      <c r="V27" s="221"/>
      <c r="W27" s="221"/>
      <c r="X27" s="221"/>
      <c r="Y27" s="243"/>
      <c r="Z27" s="221"/>
      <c r="AA27" s="221"/>
      <c r="AB27" s="232"/>
      <c r="AC27" s="426">
        <f>'Value Tree 1 - Fx'!AC27</f>
        <v>0</v>
      </c>
      <c r="AD27" s="427"/>
      <c r="AE27" s="429"/>
      <c r="AF27" s="426">
        <f>'Value Tree 1 - Fx'!AF27</f>
        <v>0</v>
      </c>
      <c r="AG27" s="427"/>
      <c r="AH27" s="427"/>
      <c r="AI27" s="258"/>
      <c r="AJ27" s="426">
        <f>'Value Tree 1 - Fx'!AJ27</f>
        <v>0</v>
      </c>
      <c r="AK27" s="427"/>
      <c r="AL27" s="429"/>
      <c r="AM27" s="440">
        <f>'Value Tree 1 - Fx'!AM27</f>
        <v>0</v>
      </c>
      <c r="AN27" s="427"/>
      <c r="AO27" s="429"/>
      <c r="AP27" s="245"/>
      <c r="AQ27" s="246"/>
      <c r="AR27" s="247"/>
      <c r="AS27" s="415" t="s">
        <v>237</v>
      </c>
      <c r="AT27" s="416"/>
      <c r="AU27" s="416"/>
      <c r="AV27" s="416"/>
      <c r="AW27" s="416"/>
      <c r="AX27" s="416"/>
      <c r="AY27" s="256"/>
      <c r="AZ27" s="445" t="str">
        <f ca="1">'Value Tree 1 - Fx'!AZ27</f>
        <v>RECALC_1_50_</v>
      </c>
      <c r="BA27" s="445"/>
      <c r="BB27" s="445"/>
      <c r="BC27" s="256"/>
      <c r="BD27" s="445" t="str">
        <f ca="1">'Value Tree 1 - Fx'!BD27</f>
        <v>RECALC_1_42_</v>
      </c>
      <c r="BE27" s="445"/>
      <c r="BF27" s="448"/>
      <c r="BG27" s="261"/>
      <c r="BH27" s="262"/>
      <c r="BI27" s="444" t="str">
        <f ca="1">'Value Tree 1 - Fx'!BI27</f>
        <v>RECALC_1_35_</v>
      </c>
      <c r="BJ27" s="445"/>
      <c r="BK27" s="445"/>
      <c r="BL27" s="239"/>
      <c r="BM27" s="444" t="str">
        <f ca="1">'Value Tree 1 - Fx'!BM27</f>
        <v>RECALC_1_26_</v>
      </c>
      <c r="BN27" s="445"/>
      <c r="BO27" s="448"/>
      <c r="BP27" s="241"/>
      <c r="BQ27" s="242"/>
      <c r="BR27" s="221"/>
      <c r="BS27" s="221"/>
    </row>
    <row r="28" spans="6:71">
      <c r="F28" s="405" t="s">
        <v>102</v>
      </c>
      <c r="G28" s="406"/>
      <c r="H28" s="406"/>
      <c r="I28" s="406"/>
      <c r="J28" s="406"/>
      <c r="K28" s="406"/>
      <c r="L28" s="406"/>
      <c r="M28" s="407"/>
      <c r="N28" s="221"/>
      <c r="O28" s="243"/>
      <c r="P28" s="221"/>
      <c r="Q28" s="405" t="s">
        <v>252</v>
      </c>
      <c r="R28" s="406"/>
      <c r="S28" s="406"/>
      <c r="T28" s="406"/>
      <c r="U28" s="406"/>
      <c r="V28" s="406"/>
      <c r="W28" s="406"/>
      <c r="X28" s="407"/>
      <c r="Y28" s="243"/>
      <c r="Z28" s="221"/>
      <c r="AA28" s="221"/>
      <c r="AB28" s="405" t="s">
        <v>242</v>
      </c>
      <c r="AC28" s="406"/>
      <c r="AD28" s="406"/>
      <c r="AE28" s="406"/>
      <c r="AF28" s="406"/>
      <c r="AG28" s="406"/>
      <c r="AH28" s="406"/>
      <c r="AI28" s="406"/>
      <c r="AJ28" s="406"/>
      <c r="AK28" s="406"/>
      <c r="AL28" s="406"/>
      <c r="AM28" s="406"/>
      <c r="AN28" s="406"/>
      <c r="AO28" s="407"/>
      <c r="AP28" s="221"/>
      <c r="AQ28" s="221"/>
      <c r="AR28" s="238"/>
      <c r="AS28" s="419" t="s">
        <v>235</v>
      </c>
      <c r="AT28" s="420"/>
      <c r="AU28" s="420"/>
      <c r="AV28" s="420"/>
      <c r="AW28" s="420"/>
      <c r="AX28" s="420"/>
      <c r="AY28" s="254"/>
      <c r="AZ28" s="447" t="str">
        <f ca="1">'Value Tree 1 - Fx'!AZ28</f>
        <v>RECALC_1_50_</v>
      </c>
      <c r="BA28" s="447"/>
      <c r="BB28" s="447"/>
      <c r="BC28" s="254"/>
      <c r="BD28" s="447" t="str">
        <f ca="1">'Value Tree 1 - Fx'!BD28</f>
        <v>RECALC_1_42_</v>
      </c>
      <c r="BE28" s="447"/>
      <c r="BF28" s="449"/>
      <c r="BG28" s="241"/>
      <c r="BH28" s="253"/>
      <c r="BI28" s="446" t="str">
        <f ca="1">'Value Tree 1 - Fx'!BI28</f>
        <v>RECALC_1_86_</v>
      </c>
      <c r="BJ28" s="447"/>
      <c r="BK28" s="447"/>
      <c r="BL28" s="252"/>
      <c r="BM28" s="446" t="str">
        <f ca="1">'Value Tree 1 - Fx'!BM28</f>
        <v>RECALC_1_28_</v>
      </c>
      <c r="BN28" s="447"/>
      <c r="BO28" s="449"/>
      <c r="BP28" s="241"/>
      <c r="BQ28" s="242"/>
      <c r="BR28" s="221"/>
      <c r="BS28" s="221"/>
    </row>
    <row r="29" spans="6:71">
      <c r="F29" s="223"/>
      <c r="G29" s="409" t="str">
        <f ca="1">'Value Tree 1 - Fx'!G29</f>
        <v>RECALC_1_75_</v>
      </c>
      <c r="H29" s="402"/>
      <c r="I29" s="402"/>
      <c r="J29" s="223"/>
      <c r="K29" s="409" t="str">
        <f ca="1">'Value Tree 1 - Fx'!K29</f>
        <v>RECALC_1_74_</v>
      </c>
      <c r="L29" s="402"/>
      <c r="M29" s="403"/>
      <c r="N29" s="221"/>
      <c r="O29" s="243"/>
      <c r="P29" s="221"/>
      <c r="Q29" s="223"/>
      <c r="R29" s="424" t="str">
        <f ca="1">'Value Tree 1 - Fx'!R29</f>
        <v>RECALC_1_120_</v>
      </c>
      <c r="S29" s="425"/>
      <c r="T29" s="425"/>
      <c r="U29" s="223"/>
      <c r="V29" s="424" t="str">
        <f ca="1">'Value Tree 1 - Fx'!V29</f>
        <v>RECALC_1_88_</v>
      </c>
      <c r="W29" s="425"/>
      <c r="X29" s="432"/>
      <c r="Y29" s="243"/>
      <c r="Z29" s="221"/>
      <c r="AA29" s="221"/>
      <c r="AB29" s="222"/>
      <c r="AC29" s="434">
        <f>'Value Tree 1 - Fx'!AC29</f>
        <v>0</v>
      </c>
      <c r="AD29" s="435"/>
      <c r="AE29" s="436"/>
      <c r="AF29" s="441">
        <f>'Value Tree 1 - Fx'!AF29</f>
        <v>0</v>
      </c>
      <c r="AG29" s="225"/>
      <c r="AH29" s="225"/>
      <c r="AI29" s="257"/>
      <c r="AJ29" s="434">
        <f>'Value Tree 1 - Fx'!AJ29</f>
        <v>0</v>
      </c>
      <c r="AK29" s="435"/>
      <c r="AL29" s="436"/>
      <c r="AM29" s="439">
        <f>'Value Tree 1 - Fx'!AM29</f>
        <v>0</v>
      </c>
      <c r="AN29" s="435"/>
      <c r="AO29" s="436"/>
      <c r="AP29" s="221"/>
      <c r="AQ29" s="221"/>
      <c r="AR29" s="238"/>
      <c r="AS29" s="241"/>
      <c r="AT29" s="241"/>
      <c r="AU29" s="241"/>
      <c r="AV29" s="241"/>
      <c r="AW29" s="241"/>
      <c r="AX29" s="241"/>
      <c r="AY29" s="241"/>
      <c r="AZ29" s="241"/>
      <c r="BA29" s="241"/>
      <c r="BB29" s="241"/>
      <c r="BC29" s="241"/>
      <c r="BD29" s="241"/>
      <c r="BE29" s="241"/>
      <c r="BF29" s="241"/>
      <c r="BG29" s="241"/>
      <c r="BH29" s="241"/>
      <c r="BI29" s="241"/>
      <c r="BJ29" s="241"/>
      <c r="BK29" s="241"/>
      <c r="BL29" s="241"/>
      <c r="BM29" s="241"/>
      <c r="BN29" s="241"/>
      <c r="BO29" s="241"/>
      <c r="BP29" s="241"/>
      <c r="BQ29" s="242"/>
      <c r="BR29" s="221"/>
      <c r="BS29" s="221"/>
    </row>
    <row r="30" spans="6:71">
      <c r="F30" s="233"/>
      <c r="G30" s="408" t="str">
        <f ca="1">'Value Tree 1 - Fx'!G30</f>
        <v>RECALC_1_61_</v>
      </c>
      <c r="H30" s="361"/>
      <c r="I30" s="361"/>
      <c r="J30" s="233"/>
      <c r="K30" s="408" t="str">
        <f ca="1">'Value Tree 1 - Fx'!K30</f>
        <v>RECALC_1_72_</v>
      </c>
      <c r="L30" s="361"/>
      <c r="M30" s="404"/>
      <c r="N30" s="221"/>
      <c r="O30" s="243"/>
      <c r="P30" s="234"/>
      <c r="Q30" s="233"/>
      <c r="R30" s="430" t="str">
        <f ca="1">'Value Tree 1 - Fx'!R30</f>
        <v>RECALC_1_118_</v>
      </c>
      <c r="S30" s="431"/>
      <c r="T30" s="431"/>
      <c r="U30" s="233"/>
      <c r="V30" s="430" t="str">
        <f ca="1">'Value Tree 1 - Fx'!V30</f>
        <v>RECALC_1_37_</v>
      </c>
      <c r="W30" s="431"/>
      <c r="X30" s="433"/>
      <c r="Y30" s="243"/>
      <c r="Z30" s="221"/>
      <c r="AA30" s="221"/>
      <c r="AB30" s="232"/>
      <c r="AC30" s="426">
        <f>'Value Tree 1 - Fx'!AC30</f>
        <v>0</v>
      </c>
      <c r="AD30" s="427"/>
      <c r="AE30" s="429"/>
      <c r="AF30" s="426">
        <f>'Value Tree 1 - Fx'!AF30</f>
        <v>0</v>
      </c>
      <c r="AG30" s="427"/>
      <c r="AH30" s="427"/>
      <c r="AI30" s="258"/>
      <c r="AJ30" s="426">
        <f>'Value Tree 1 - Fx'!AJ30</f>
        <v>0</v>
      </c>
      <c r="AK30" s="427"/>
      <c r="AL30" s="429"/>
      <c r="AM30" s="440">
        <f>'Value Tree 1 - Fx'!AM30</f>
        <v>0</v>
      </c>
      <c r="AN30" s="427"/>
      <c r="AO30" s="429"/>
      <c r="AP30" s="221"/>
      <c r="AQ30" s="221"/>
      <c r="AR30" s="238"/>
      <c r="AS30" s="241"/>
      <c r="AT30" s="241"/>
      <c r="AU30" s="241"/>
      <c r="AV30" s="241"/>
      <c r="AW30" s="241"/>
      <c r="AX30" s="241"/>
      <c r="AY30" s="241"/>
      <c r="AZ30" s="241"/>
      <c r="BA30" s="241"/>
      <c r="BB30" s="241"/>
      <c r="BC30" s="241"/>
      <c r="BD30" s="241"/>
      <c r="BE30" s="241"/>
      <c r="BF30" s="241"/>
      <c r="BG30" s="241"/>
      <c r="BH30" s="241"/>
      <c r="BI30" s="241"/>
      <c r="BJ30" s="241"/>
      <c r="BK30" s="241"/>
      <c r="BL30" s="241"/>
      <c r="BM30" s="241"/>
      <c r="BN30" s="241"/>
      <c r="BO30" s="241"/>
      <c r="BP30" s="241"/>
      <c r="BQ30" s="242"/>
      <c r="BR30" s="221"/>
      <c r="BS30" s="221"/>
    </row>
    <row r="31" spans="6:71">
      <c r="F31" s="221"/>
      <c r="G31" s="221"/>
      <c r="H31" s="221"/>
      <c r="I31" s="221"/>
      <c r="J31" s="221"/>
      <c r="K31" s="221"/>
      <c r="L31" s="221"/>
      <c r="M31" s="221"/>
      <c r="N31" s="221"/>
      <c r="O31" s="243"/>
      <c r="P31" s="221"/>
      <c r="Q31" s="221"/>
      <c r="R31" s="221"/>
      <c r="S31" s="221"/>
      <c r="T31" s="221"/>
      <c r="U31" s="221"/>
      <c r="V31" s="221"/>
      <c r="W31" s="221"/>
      <c r="X31" s="221"/>
      <c r="Y31" s="243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/>
      <c r="AN31" s="221"/>
      <c r="AO31" s="221"/>
      <c r="AP31" s="221"/>
      <c r="AQ31" s="221"/>
      <c r="AR31" s="238"/>
      <c r="AS31" s="241"/>
      <c r="AT31" s="241"/>
      <c r="AU31" s="241"/>
      <c r="AV31" s="241"/>
      <c r="AW31" s="241"/>
      <c r="AX31" s="241"/>
      <c r="AY31" s="241"/>
      <c r="AZ31" s="241"/>
      <c r="BA31" s="241"/>
      <c r="BB31" s="241"/>
      <c r="BC31" s="241"/>
      <c r="BD31" s="241"/>
      <c r="BE31" s="241"/>
      <c r="BF31" s="241"/>
      <c r="BG31" s="241"/>
      <c r="BH31" s="241"/>
      <c r="BI31" s="241"/>
      <c r="BJ31" s="241"/>
      <c r="BK31" s="241"/>
      <c r="BL31" s="241"/>
      <c r="BM31" s="241"/>
      <c r="BN31" s="241"/>
      <c r="BO31" s="241"/>
      <c r="BP31" s="241"/>
      <c r="BQ31" s="242"/>
      <c r="BR31" s="221"/>
      <c r="BS31" s="221"/>
    </row>
    <row r="32" spans="6:71">
      <c r="F32" s="221"/>
      <c r="G32" s="221"/>
      <c r="H32" s="221"/>
      <c r="I32" s="221"/>
      <c r="J32" s="221"/>
      <c r="K32" s="221"/>
      <c r="L32" s="221"/>
      <c r="M32" s="221"/>
      <c r="N32" s="221"/>
      <c r="O32" s="243"/>
      <c r="P32" s="221"/>
      <c r="Q32" s="405" t="s">
        <v>253</v>
      </c>
      <c r="R32" s="406"/>
      <c r="S32" s="406"/>
      <c r="T32" s="406"/>
      <c r="U32" s="406"/>
      <c r="V32" s="406"/>
      <c r="W32" s="406"/>
      <c r="X32" s="407"/>
      <c r="Y32" s="243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  <c r="AQ32" s="221"/>
      <c r="AR32" s="238"/>
      <c r="AS32" s="241"/>
      <c r="AT32" s="241"/>
      <c r="AU32" s="241"/>
      <c r="AV32" s="241"/>
      <c r="AW32" s="241"/>
      <c r="AX32" s="241"/>
      <c r="AY32" s="241"/>
      <c r="AZ32" s="241"/>
      <c r="BA32" s="241"/>
      <c r="BB32" s="241"/>
      <c r="BC32" s="241"/>
      <c r="BD32" s="241"/>
      <c r="BE32" s="241"/>
      <c r="BF32" s="241"/>
      <c r="BG32" s="241"/>
      <c r="BH32" s="241"/>
      <c r="BI32" s="241"/>
      <c r="BJ32" s="241"/>
      <c r="BK32" s="241"/>
      <c r="BL32" s="241"/>
      <c r="BM32" s="241"/>
      <c r="BN32" s="241"/>
      <c r="BO32" s="241"/>
      <c r="BP32" s="241"/>
      <c r="BQ32" s="242"/>
      <c r="BR32" s="221"/>
      <c r="BS32" s="221"/>
    </row>
    <row r="33" spans="6:71">
      <c r="F33" s="221"/>
      <c r="G33" s="221"/>
      <c r="H33" s="221"/>
      <c r="I33" s="221"/>
      <c r="J33" s="221"/>
      <c r="K33" s="221"/>
      <c r="L33" s="221"/>
      <c r="M33" s="221"/>
      <c r="N33" s="221"/>
      <c r="O33" s="243"/>
      <c r="P33" s="221"/>
      <c r="Q33" s="223"/>
      <c r="R33" s="424" t="str">
        <f ca="1">'Value Tree 1 - Fx'!R33</f>
        <v>RECALC_1_31_</v>
      </c>
      <c r="S33" s="425"/>
      <c r="T33" s="425"/>
      <c r="U33" s="263"/>
      <c r="V33" s="424" t="str">
        <f ca="1">'Value Tree 1 - Fx'!V33</f>
        <v>RECALC_1_101_</v>
      </c>
      <c r="W33" s="425"/>
      <c r="X33" s="432"/>
      <c r="Y33" s="243"/>
      <c r="Z33" s="221"/>
      <c r="AA33" s="221"/>
      <c r="AB33" s="405" t="s">
        <v>240</v>
      </c>
      <c r="AC33" s="406"/>
      <c r="AD33" s="406"/>
      <c r="AE33" s="406"/>
      <c r="AF33" s="406"/>
      <c r="AG33" s="406"/>
      <c r="AH33" s="406"/>
      <c r="AI33" s="406"/>
      <c r="AJ33" s="406"/>
      <c r="AK33" s="406"/>
      <c r="AL33" s="406"/>
      <c r="AM33" s="406"/>
      <c r="AN33" s="406"/>
      <c r="AO33" s="407"/>
      <c r="AP33" s="221"/>
      <c r="AQ33" s="221"/>
      <c r="AR33" s="238"/>
      <c r="AS33" s="324" t="s">
        <v>256</v>
      </c>
      <c r="AT33" s="325"/>
      <c r="AU33" s="325"/>
      <c r="AV33" s="325"/>
      <c r="AW33" s="325"/>
      <c r="AX33" s="325"/>
      <c r="AY33" s="325"/>
      <c r="AZ33" s="325"/>
      <c r="BA33" s="325"/>
      <c r="BB33" s="325"/>
      <c r="BC33" s="325"/>
      <c r="BD33" s="325"/>
      <c r="BE33" s="325"/>
      <c r="BF33" s="326"/>
      <c r="BG33" s="241"/>
      <c r="BH33" s="321" t="s">
        <v>269</v>
      </c>
      <c r="BI33" s="322"/>
      <c r="BJ33" s="322"/>
      <c r="BK33" s="322"/>
      <c r="BL33" s="322"/>
      <c r="BM33" s="322"/>
      <c r="BN33" s="322"/>
      <c r="BO33" s="323"/>
      <c r="BP33" s="241"/>
      <c r="BQ33" s="242"/>
      <c r="BR33" s="221"/>
      <c r="BS33" s="221"/>
    </row>
    <row r="34" spans="6:71">
      <c r="F34" s="221"/>
      <c r="G34" s="221"/>
      <c r="H34" s="221"/>
      <c r="I34" s="221"/>
      <c r="J34" s="221"/>
      <c r="K34" s="221"/>
      <c r="L34" s="221"/>
      <c r="M34" s="221"/>
      <c r="N34" s="221"/>
      <c r="O34" s="243"/>
      <c r="P34" s="234"/>
      <c r="Q34" s="233"/>
      <c r="R34" s="430" t="str">
        <f ca="1">'Value Tree 1 - Fx'!R34</f>
        <v>RECALC_1_73_</v>
      </c>
      <c r="S34" s="431"/>
      <c r="T34" s="431"/>
      <c r="U34" s="258"/>
      <c r="V34" s="430" t="str">
        <f ca="1">'Value Tree 1 - Fx'!V34</f>
        <v>RECALC_1_92_</v>
      </c>
      <c r="W34" s="431"/>
      <c r="X34" s="433"/>
      <c r="Y34" s="243"/>
      <c r="Z34" s="234"/>
      <c r="AA34" s="235"/>
      <c r="AB34" s="250"/>
      <c r="AC34" s="434">
        <f>'Value Tree 1 - Fx'!AC34</f>
        <v>0</v>
      </c>
      <c r="AD34" s="435"/>
      <c r="AE34" s="436"/>
      <c r="AF34" s="437">
        <f>'Value Tree 1 - Fx'!AF34</f>
        <v>0</v>
      </c>
      <c r="AG34" s="423"/>
      <c r="AH34" s="428"/>
      <c r="AI34" s="250"/>
      <c r="AJ34" s="434">
        <f>'Value Tree 1 - Fx'!AJ34</f>
        <v>0</v>
      </c>
      <c r="AK34" s="435"/>
      <c r="AL34" s="436"/>
      <c r="AM34" s="439">
        <f>'Value Tree 1 - Fx'!AM34</f>
        <v>0</v>
      </c>
      <c r="AN34" s="435"/>
      <c r="AO34" s="436"/>
      <c r="AP34" s="248"/>
      <c r="AQ34" s="234"/>
      <c r="AR34" s="264"/>
      <c r="AS34" s="413" t="s">
        <v>238</v>
      </c>
      <c r="AT34" s="414"/>
      <c r="AU34" s="414"/>
      <c r="AV34" s="414"/>
      <c r="AW34" s="414"/>
      <c r="AX34" s="414"/>
      <c r="AY34" s="265"/>
      <c r="AZ34" s="423" t="str">
        <f ca="1">'Value Tree 1 - Fx'!AZ34</f>
        <v>RECALC_1_18_</v>
      </c>
      <c r="BA34" s="423"/>
      <c r="BB34" s="423"/>
      <c r="BC34" s="265"/>
      <c r="BD34" s="423" t="str">
        <f ca="1">'Value Tree 1 - Fx'!BD34</f>
        <v>RECALC_1_19_</v>
      </c>
      <c r="BE34" s="423"/>
      <c r="BF34" s="428"/>
      <c r="BG34" s="241"/>
      <c r="BH34" s="266"/>
      <c r="BI34" s="442" t="str">
        <f ca="1">'Value Tree 1 - Fx'!BI34</f>
        <v>RECALC_1_15_</v>
      </c>
      <c r="BJ34" s="423"/>
      <c r="BK34" s="423"/>
      <c r="BL34" s="265"/>
      <c r="BM34" s="442" t="str">
        <f ca="1">'Value Tree 1 - Fx'!BM34</f>
        <v>RECALC_1_25_</v>
      </c>
      <c r="BN34" s="423"/>
      <c r="BO34" s="428"/>
      <c r="BP34" s="241"/>
      <c r="BQ34" s="242"/>
      <c r="BR34" s="221"/>
      <c r="BS34" s="221"/>
    </row>
    <row r="35" spans="6:71"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54"/>
      <c r="AC35" s="426">
        <f>'Value Tree 1 - Fx'!AC35</f>
        <v>0</v>
      </c>
      <c r="AD35" s="427"/>
      <c r="AE35" s="429"/>
      <c r="AF35" s="426">
        <f>'Value Tree 1 - Fx'!AF35</f>
        <v>0</v>
      </c>
      <c r="AG35" s="427"/>
      <c r="AH35" s="427"/>
      <c r="AI35" s="254"/>
      <c r="AJ35" s="426">
        <f>'Value Tree 1 - Fx'!AJ35</f>
        <v>0</v>
      </c>
      <c r="AK35" s="427"/>
      <c r="AL35" s="429"/>
      <c r="AM35" s="440">
        <f>'Value Tree 1 - Fx'!AM35</f>
        <v>0</v>
      </c>
      <c r="AN35" s="427"/>
      <c r="AO35" s="429"/>
      <c r="AP35" s="221"/>
      <c r="AQ35" s="221"/>
      <c r="AR35" s="238"/>
      <c r="AS35" s="421" t="s">
        <v>239</v>
      </c>
      <c r="AT35" s="422"/>
      <c r="AU35" s="422"/>
      <c r="AV35" s="422"/>
      <c r="AW35" s="422"/>
      <c r="AX35" s="422"/>
      <c r="AY35" s="252"/>
      <c r="AZ35" s="427" t="str">
        <f ca="1">'Value Tree 1 - Fx'!AZ35</f>
        <v>RECALC_1_18_</v>
      </c>
      <c r="BA35" s="427"/>
      <c r="BB35" s="427"/>
      <c r="BC35" s="252"/>
      <c r="BD35" s="427" t="str">
        <f ca="1">'Value Tree 1 - Fx'!BD35</f>
        <v>RECALC_1_19_</v>
      </c>
      <c r="BE35" s="427"/>
      <c r="BF35" s="429"/>
      <c r="BG35" s="261"/>
      <c r="BH35" s="253"/>
      <c r="BI35" s="443" t="str">
        <f ca="1">'Value Tree 1 - Fx'!BI35</f>
        <v>RECALC_1_14_</v>
      </c>
      <c r="BJ35" s="427"/>
      <c r="BK35" s="427"/>
      <c r="BL35" s="252"/>
      <c r="BM35" s="443" t="str">
        <f ca="1">'Value Tree 1 - Fx'!BM35</f>
        <v>RECALC_1_24_</v>
      </c>
      <c r="BN35" s="427"/>
      <c r="BO35" s="429"/>
      <c r="BP35" s="241"/>
      <c r="BQ35" s="242"/>
      <c r="BR35" s="221"/>
      <c r="BS35" s="221"/>
    </row>
    <row r="36" spans="6:71"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405" t="s">
        <v>241</v>
      </c>
      <c r="AC36" s="406"/>
      <c r="AD36" s="406"/>
      <c r="AE36" s="406"/>
      <c r="AF36" s="406"/>
      <c r="AG36" s="406"/>
      <c r="AH36" s="406"/>
      <c r="AI36" s="406"/>
      <c r="AJ36" s="406"/>
      <c r="AK36" s="406"/>
      <c r="AL36" s="406"/>
      <c r="AM36" s="406"/>
      <c r="AN36" s="406"/>
      <c r="AO36" s="407"/>
      <c r="AP36" s="221"/>
      <c r="AQ36" s="221"/>
      <c r="AR36" s="238"/>
      <c r="AS36" s="241"/>
      <c r="AT36" s="241"/>
      <c r="AU36" s="241"/>
      <c r="AV36" s="241"/>
      <c r="AW36" s="241"/>
      <c r="AX36" s="241"/>
      <c r="AY36" s="241"/>
      <c r="AZ36" s="241"/>
      <c r="BA36" s="241"/>
      <c r="BB36" s="241"/>
      <c r="BC36" s="241"/>
      <c r="BD36" s="241"/>
      <c r="BE36" s="241"/>
      <c r="BF36" s="241"/>
      <c r="BG36" s="241"/>
      <c r="BH36" s="241"/>
      <c r="BI36" s="241"/>
      <c r="BJ36" s="241"/>
      <c r="BK36" s="241"/>
      <c r="BL36" s="241"/>
      <c r="BM36" s="241"/>
      <c r="BN36" s="241"/>
      <c r="BO36" s="241"/>
      <c r="BP36" s="241"/>
      <c r="BQ36" s="242"/>
      <c r="BR36" s="221"/>
      <c r="BS36" s="221"/>
    </row>
    <row r="37" spans="6:71"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50"/>
      <c r="AC37" s="434">
        <f>'Value Tree 1 - Fx'!AC37</f>
        <v>0</v>
      </c>
      <c r="AD37" s="435"/>
      <c r="AE37" s="436"/>
      <c r="AF37" s="437">
        <f>'Value Tree 1 - Fx'!AF37</f>
        <v>0</v>
      </c>
      <c r="AG37" s="423"/>
      <c r="AH37" s="428"/>
      <c r="AI37" s="250"/>
      <c r="AJ37" s="434">
        <f>'Value Tree 1 - Fx'!AJ37</f>
        <v>0</v>
      </c>
      <c r="AK37" s="435"/>
      <c r="AL37" s="436"/>
      <c r="AM37" s="439">
        <f>'Value Tree 1 - Fx'!AM37</f>
        <v>0</v>
      </c>
      <c r="AN37" s="435"/>
      <c r="AO37" s="436"/>
      <c r="AP37" s="221"/>
      <c r="AQ37" s="221"/>
      <c r="AR37" s="238"/>
      <c r="AS37" s="241"/>
      <c r="AT37" s="241"/>
      <c r="AU37" s="241"/>
      <c r="AV37" s="241"/>
      <c r="AW37" s="241"/>
      <c r="AX37" s="241"/>
      <c r="AY37" s="241"/>
      <c r="AZ37" s="241"/>
      <c r="BA37" s="241"/>
      <c r="BB37" s="241"/>
      <c r="BC37" s="241"/>
      <c r="BD37" s="241"/>
      <c r="BE37" s="241"/>
      <c r="BF37" s="241"/>
      <c r="BG37" s="241"/>
      <c r="BH37" s="241"/>
      <c r="BI37" s="241"/>
      <c r="BJ37" s="241"/>
      <c r="BK37" s="241"/>
      <c r="BL37" s="241"/>
      <c r="BM37" s="241"/>
      <c r="BN37" s="241"/>
      <c r="BO37" s="241"/>
      <c r="BP37" s="241"/>
      <c r="BQ37" s="242"/>
      <c r="BR37" s="221"/>
      <c r="BS37" s="221"/>
    </row>
    <row r="38" spans="6:71" ht="15" thickBot="1"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54"/>
      <c r="AC38" s="426">
        <f>'Value Tree 1 - Fx'!AC38</f>
        <v>0</v>
      </c>
      <c r="AD38" s="427"/>
      <c r="AE38" s="429"/>
      <c r="AF38" s="426">
        <f>'Value Tree 1 - Fx'!AF38</f>
        <v>0</v>
      </c>
      <c r="AG38" s="427"/>
      <c r="AH38" s="427"/>
      <c r="AI38" s="254"/>
      <c r="AJ38" s="426">
        <f>'Value Tree 1 - Fx'!AJ38</f>
        <v>0</v>
      </c>
      <c r="AK38" s="427"/>
      <c r="AL38" s="429"/>
      <c r="AM38" s="440">
        <f>'Value Tree 1 - Fx'!AM38</f>
        <v>0</v>
      </c>
      <c r="AN38" s="427"/>
      <c r="AO38" s="429"/>
      <c r="AP38" s="221"/>
      <c r="AQ38" s="221"/>
      <c r="AR38" s="267"/>
      <c r="AS38" s="268"/>
      <c r="AT38" s="268"/>
      <c r="AU38" s="268"/>
      <c r="AV38" s="268"/>
      <c r="AW38" s="268"/>
      <c r="AX38" s="268"/>
      <c r="AY38" s="268"/>
      <c r="AZ38" s="268"/>
      <c r="BA38" s="268"/>
      <c r="BB38" s="268"/>
      <c r="BC38" s="268"/>
      <c r="BD38" s="268"/>
      <c r="BE38" s="268"/>
      <c r="BF38" s="268"/>
      <c r="BG38" s="268"/>
      <c r="BH38" s="268"/>
      <c r="BI38" s="268"/>
      <c r="BJ38" s="268"/>
      <c r="BK38" s="268"/>
      <c r="BL38" s="268"/>
      <c r="BM38" s="268"/>
      <c r="BN38" s="268"/>
      <c r="BO38" s="268"/>
      <c r="BP38" s="268"/>
      <c r="BQ38" s="269"/>
      <c r="BR38" s="221"/>
      <c r="BS38" s="221"/>
    </row>
    <row r="39" spans="6:71"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1"/>
      <c r="AY39" s="221"/>
      <c r="AZ39" s="221"/>
      <c r="BA39" s="221"/>
      <c r="BB39" s="221"/>
      <c r="BC39" s="221"/>
      <c r="BD39" s="221"/>
      <c r="BE39" s="221"/>
      <c r="BF39" s="221"/>
      <c r="BG39" s="221"/>
      <c r="BH39" s="221"/>
      <c r="BI39" s="221"/>
      <c r="BJ39" s="221"/>
      <c r="BK39" s="221"/>
      <c r="BL39" s="221"/>
      <c r="BM39" s="221"/>
      <c r="BN39" s="221"/>
      <c r="BO39" s="221"/>
      <c r="BP39" s="221"/>
      <c r="BQ39" s="221"/>
      <c r="BR39" s="221"/>
      <c r="BS39" s="221"/>
    </row>
    <row r="40" spans="6:71"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W40" s="221"/>
      <c r="AX40" s="221"/>
      <c r="AY40" s="221"/>
      <c r="AZ40" s="221"/>
      <c r="BA40" s="221"/>
      <c r="BB40" s="221"/>
      <c r="BC40" s="221"/>
      <c r="BD40" s="221"/>
      <c r="BE40" s="221"/>
      <c r="BF40" s="221"/>
      <c r="BG40" s="221"/>
      <c r="BH40" s="221"/>
      <c r="BI40" s="221"/>
      <c r="BJ40" s="221"/>
      <c r="BK40" s="221"/>
      <c r="BL40" s="221"/>
      <c r="BM40" s="221"/>
      <c r="BN40" s="221"/>
      <c r="BO40" s="221"/>
      <c r="BP40" s="221"/>
      <c r="BQ40" s="221"/>
      <c r="BR40" s="221"/>
      <c r="BS40" s="221"/>
    </row>
    <row r="41" spans="6:71"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1"/>
      <c r="AU41" s="221"/>
      <c r="AV41" s="221"/>
      <c r="AW41" s="221"/>
      <c r="AX41" s="221"/>
      <c r="AY41" s="221"/>
      <c r="AZ41" s="221"/>
      <c r="BA41" s="221"/>
      <c r="BB41" s="221"/>
      <c r="BC41" s="221"/>
      <c r="BD41" s="221"/>
      <c r="BE41" s="221"/>
      <c r="BF41" s="221"/>
      <c r="BG41" s="221"/>
      <c r="BH41" s="221"/>
      <c r="BI41" s="221"/>
      <c r="BJ41" s="221"/>
      <c r="BK41" s="221"/>
      <c r="BL41" s="221"/>
      <c r="BM41" s="221"/>
      <c r="BN41" s="221"/>
      <c r="BO41" s="221"/>
      <c r="BP41" s="221"/>
      <c r="BQ41" s="221"/>
      <c r="BR41" s="221"/>
      <c r="BS41" s="221"/>
    </row>
    <row r="42" spans="6:71"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  <c r="AQ42" s="221"/>
      <c r="AR42" s="221"/>
      <c r="AS42" s="221"/>
      <c r="AT42" s="221"/>
      <c r="AU42" s="221"/>
      <c r="AV42" s="221"/>
      <c r="AW42" s="221"/>
      <c r="AX42" s="221"/>
      <c r="AY42" s="221"/>
      <c r="AZ42" s="221"/>
      <c r="BA42" s="221"/>
      <c r="BB42" s="221"/>
      <c r="BC42" s="221"/>
      <c r="BD42" s="221"/>
      <c r="BE42" s="221"/>
      <c r="BF42" s="221"/>
      <c r="BG42" s="221"/>
      <c r="BH42" s="221"/>
      <c r="BI42" s="221"/>
      <c r="BJ42" s="221"/>
      <c r="BK42" s="221"/>
      <c r="BL42" s="221"/>
      <c r="BM42" s="221"/>
      <c r="BN42" s="221"/>
      <c r="BO42" s="221"/>
      <c r="BP42" s="221"/>
      <c r="BQ42" s="221"/>
      <c r="BR42" s="221"/>
      <c r="BS42" s="221"/>
    </row>
    <row r="43" spans="6:71"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  <c r="AS43" s="221"/>
      <c r="AT43" s="221"/>
      <c r="AU43" s="221"/>
      <c r="AV43" s="221"/>
      <c r="AW43" s="221"/>
      <c r="AX43" s="221"/>
      <c r="AY43" s="221"/>
      <c r="AZ43" s="221"/>
      <c r="BA43" s="221"/>
      <c r="BB43" s="221"/>
      <c r="BC43" s="221"/>
      <c r="BD43" s="221"/>
      <c r="BE43" s="221"/>
      <c r="BF43" s="221"/>
      <c r="BG43" s="221"/>
      <c r="BH43" s="221"/>
      <c r="BI43" s="221"/>
      <c r="BJ43" s="221"/>
      <c r="BK43" s="221"/>
      <c r="BL43" s="221"/>
      <c r="BM43" s="221"/>
      <c r="BN43" s="221"/>
      <c r="BO43" s="221"/>
      <c r="BP43" s="221"/>
      <c r="BQ43" s="221"/>
      <c r="BR43" s="221"/>
      <c r="BS43" s="221"/>
    </row>
  </sheetData>
  <mergeCells count="190">
    <mergeCell ref="AF8:AH8"/>
    <mergeCell ref="AF11:AH11"/>
    <mergeCell ref="AF18:AH18"/>
    <mergeCell ref="AF21:AH21"/>
    <mergeCell ref="AF26:AH26"/>
    <mergeCell ref="AF34:AH34"/>
    <mergeCell ref="AF37:AH37"/>
    <mergeCell ref="AS35:AX35"/>
    <mergeCell ref="AZ35:BB35"/>
    <mergeCell ref="BD35:BF35"/>
    <mergeCell ref="BI35:BK35"/>
    <mergeCell ref="BM35:BO35"/>
    <mergeCell ref="AS33:BF33"/>
    <mergeCell ref="BH33:BO33"/>
    <mergeCell ref="AS34:AX34"/>
    <mergeCell ref="AZ34:BB34"/>
    <mergeCell ref="BD34:BF34"/>
    <mergeCell ref="BI34:BK34"/>
    <mergeCell ref="BM34:BO34"/>
    <mergeCell ref="BH25:BO25"/>
    <mergeCell ref="BI26:BK26"/>
    <mergeCell ref="BI27:BK27"/>
    <mergeCell ref="BI28:BK28"/>
    <mergeCell ref="BM26:BO26"/>
    <mergeCell ref="BM28:BO28"/>
    <mergeCell ref="BM27:BO27"/>
    <mergeCell ref="AS28:AX28"/>
    <mergeCell ref="AZ28:BB28"/>
    <mergeCell ref="BD28:BF28"/>
    <mergeCell ref="AS25:BF25"/>
    <mergeCell ref="AS26:AX26"/>
    <mergeCell ref="AZ26:BB26"/>
    <mergeCell ref="BD26:BF26"/>
    <mergeCell ref="AS27:AX27"/>
    <mergeCell ref="AZ27:BB27"/>
    <mergeCell ref="BD27:BF27"/>
    <mergeCell ref="AS20:AX20"/>
    <mergeCell ref="AZ20:BB20"/>
    <mergeCell ref="BD20:BF20"/>
    <mergeCell ref="AS21:AX21"/>
    <mergeCell ref="AZ21:BB21"/>
    <mergeCell ref="BD21:BF21"/>
    <mergeCell ref="AS17:BF17"/>
    <mergeCell ref="AS18:AX18"/>
    <mergeCell ref="AZ18:BB18"/>
    <mergeCell ref="BD18:BF18"/>
    <mergeCell ref="AS19:AX19"/>
    <mergeCell ref="AZ19:BB19"/>
    <mergeCell ref="BD19:BF19"/>
    <mergeCell ref="AS13:AX13"/>
    <mergeCell ref="AZ13:BB13"/>
    <mergeCell ref="BD13:BF13"/>
    <mergeCell ref="AS14:AX14"/>
    <mergeCell ref="AZ14:BB14"/>
    <mergeCell ref="BD14:BF14"/>
    <mergeCell ref="AS11:AX11"/>
    <mergeCell ref="AZ11:BB11"/>
    <mergeCell ref="BD11:BF11"/>
    <mergeCell ref="AS12:AX12"/>
    <mergeCell ref="AZ12:BB12"/>
    <mergeCell ref="BD12:BF12"/>
    <mergeCell ref="AS7:BF7"/>
    <mergeCell ref="AS8:AX8"/>
    <mergeCell ref="AS9:AX9"/>
    <mergeCell ref="AS10:AX10"/>
    <mergeCell ref="AZ10:BB10"/>
    <mergeCell ref="BD10:BF10"/>
    <mergeCell ref="AZ8:BB8"/>
    <mergeCell ref="AZ9:BB9"/>
    <mergeCell ref="BD8:BF8"/>
    <mergeCell ref="BD9:BF9"/>
    <mergeCell ref="AB36:AO36"/>
    <mergeCell ref="AC37:AE37"/>
    <mergeCell ref="AJ37:AL37"/>
    <mergeCell ref="AM37:AO37"/>
    <mergeCell ref="AC38:AE38"/>
    <mergeCell ref="AF38:AH38"/>
    <mergeCell ref="AJ38:AL38"/>
    <mergeCell ref="AM38:AO38"/>
    <mergeCell ref="AB33:AO33"/>
    <mergeCell ref="AC34:AE34"/>
    <mergeCell ref="AJ34:AL34"/>
    <mergeCell ref="AM34:AO34"/>
    <mergeCell ref="AC35:AE35"/>
    <mergeCell ref="AF35:AH35"/>
    <mergeCell ref="AJ35:AL35"/>
    <mergeCell ref="AM35:AO35"/>
    <mergeCell ref="AC29:AE29"/>
    <mergeCell ref="AJ29:AL29"/>
    <mergeCell ref="AM29:AO29"/>
    <mergeCell ref="AC30:AE30"/>
    <mergeCell ref="AF30:AH30"/>
    <mergeCell ref="AJ30:AL30"/>
    <mergeCell ref="AM30:AO30"/>
    <mergeCell ref="AB25:AO25"/>
    <mergeCell ref="AC26:AE26"/>
    <mergeCell ref="AJ26:AL26"/>
    <mergeCell ref="AM26:AO26"/>
    <mergeCell ref="AC27:AE27"/>
    <mergeCell ref="AF27:AH27"/>
    <mergeCell ref="AJ27:AL27"/>
    <mergeCell ref="AM27:AO27"/>
    <mergeCell ref="K30:M30"/>
    <mergeCell ref="AB17:AO17"/>
    <mergeCell ref="AC18:AE18"/>
    <mergeCell ref="AJ18:AL18"/>
    <mergeCell ref="AM18:AO18"/>
    <mergeCell ref="AC19:AE19"/>
    <mergeCell ref="Q32:X32"/>
    <mergeCell ref="R33:T33"/>
    <mergeCell ref="V33:X33"/>
    <mergeCell ref="R21:T21"/>
    <mergeCell ref="V21:X21"/>
    <mergeCell ref="R22:T22"/>
    <mergeCell ref="V22:X22"/>
    <mergeCell ref="AC21:AE21"/>
    <mergeCell ref="AJ21:AL21"/>
    <mergeCell ref="AM21:AO21"/>
    <mergeCell ref="AC22:AE22"/>
    <mergeCell ref="AF22:AH22"/>
    <mergeCell ref="AJ22:AL22"/>
    <mergeCell ref="AM22:AO22"/>
    <mergeCell ref="F28:M28"/>
    <mergeCell ref="G29:I29"/>
    <mergeCell ref="K29:M29"/>
    <mergeCell ref="AB28:AO28"/>
    <mergeCell ref="AM12:AO12"/>
    <mergeCell ref="Q20:X20"/>
    <mergeCell ref="AF19:AH19"/>
    <mergeCell ref="AJ19:AL19"/>
    <mergeCell ref="AM19:AO19"/>
    <mergeCell ref="AB20:AO20"/>
    <mergeCell ref="R34:T34"/>
    <mergeCell ref="V34:X34"/>
    <mergeCell ref="F24:M24"/>
    <mergeCell ref="G25:I25"/>
    <mergeCell ref="K25:M25"/>
    <mergeCell ref="G26:I26"/>
    <mergeCell ref="K26:M26"/>
    <mergeCell ref="R26:T26"/>
    <mergeCell ref="V26:X26"/>
    <mergeCell ref="Q28:X28"/>
    <mergeCell ref="R29:T29"/>
    <mergeCell ref="V29:X29"/>
    <mergeCell ref="R30:T30"/>
    <mergeCell ref="V30:X30"/>
    <mergeCell ref="Q24:X24"/>
    <mergeCell ref="R25:T25"/>
    <mergeCell ref="V25:X25"/>
    <mergeCell ref="G30:I30"/>
    <mergeCell ref="AB7:AO7"/>
    <mergeCell ref="AJ8:AL8"/>
    <mergeCell ref="AM8:AO8"/>
    <mergeCell ref="AJ9:AL9"/>
    <mergeCell ref="AM9:AO9"/>
    <mergeCell ref="AB10:AO10"/>
    <mergeCell ref="AF9:AH9"/>
    <mergeCell ref="AC11:AE11"/>
    <mergeCell ref="R17:T17"/>
    <mergeCell ref="V17:X17"/>
    <mergeCell ref="AC8:AE8"/>
    <mergeCell ref="AC9:AE9"/>
    <mergeCell ref="AC12:AE12"/>
    <mergeCell ref="R12:T12"/>
    <mergeCell ref="V12:X12"/>
    <mergeCell ref="R13:T13"/>
    <mergeCell ref="V13:X13"/>
    <mergeCell ref="Q15:X15"/>
    <mergeCell ref="R16:T16"/>
    <mergeCell ref="V16:X16"/>
    <mergeCell ref="AJ11:AL11"/>
    <mergeCell ref="AM11:AO11"/>
    <mergeCell ref="AF12:AH12"/>
    <mergeCell ref="AJ12:AL12"/>
    <mergeCell ref="G14:I14"/>
    <mergeCell ref="K14:M14"/>
    <mergeCell ref="G15:I15"/>
    <mergeCell ref="K15:M15"/>
    <mergeCell ref="Q7:X7"/>
    <mergeCell ref="R8:T8"/>
    <mergeCell ref="V8:X8"/>
    <mergeCell ref="R9:T9"/>
    <mergeCell ref="V9:X9"/>
    <mergeCell ref="Q11:X11"/>
    <mergeCell ref="F13:M13"/>
    <mergeCell ref="F9:M9"/>
    <mergeCell ref="G10:I10"/>
    <mergeCell ref="G11:I11"/>
    <mergeCell ref="K10:M10"/>
    <mergeCell ref="K11:M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5</vt:i4>
      </vt:variant>
    </vt:vector>
  </HeadingPairs>
  <TitlesOfParts>
    <vt:vector size="21" baseType="lpstr">
      <vt:lpstr>Home</vt:lpstr>
      <vt:lpstr>Summary  - Fx</vt:lpstr>
      <vt:lpstr>Summary</vt:lpstr>
      <vt:lpstr>Cement Volumes &amp; Prices - Fx</vt:lpstr>
      <vt:lpstr>Cement Volumes &amp; Prices</vt:lpstr>
      <vt:lpstr>EBITDA - Fx</vt:lpstr>
      <vt:lpstr>EBITDA</vt:lpstr>
      <vt:lpstr>Cash Generation - Fx</vt:lpstr>
      <vt:lpstr>Cash Generation</vt:lpstr>
      <vt:lpstr>Menu</vt:lpstr>
      <vt:lpstr>Planilha3</vt:lpstr>
      <vt:lpstr>Planilha1</vt:lpstr>
      <vt:lpstr>Planilha2</vt:lpstr>
      <vt:lpstr>Value Tree TESTE</vt:lpstr>
      <vt:lpstr>Value Tree 1 - Fx</vt:lpstr>
      <vt:lpstr>Value Tree 1</vt:lpstr>
      <vt:lpstr>'EBITDA - Fx'!TM1RPTDATARNG4065595</vt:lpstr>
      <vt:lpstr>'EBITDA - Fx'!TM1RPTFMTIDCOL4065595</vt:lpstr>
      <vt:lpstr>'EBITDA - Fx'!TM1RPTFMTRNG4065595</vt:lpstr>
      <vt:lpstr>'EBITDA - Fx'!TM1RPTQRYRNG4065595</vt:lpstr>
      <vt:lpstr>'EBITDA - Fx'!TM1RPTVIEWRNG4065595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Araújo</dc:creator>
  <cp:lastModifiedBy>Enrico Athayde</cp:lastModifiedBy>
  <dcterms:created xsi:type="dcterms:W3CDTF">2026-03-19T14:23:09Z</dcterms:created>
  <dcterms:modified xsi:type="dcterms:W3CDTF">2026-04-06T18:45:53Z</dcterms:modified>
</cp:coreProperties>
</file>