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íses" sheetId="2" r:id="rId5"/>
    <sheet state="visible" name="Total_de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<sst xmlns="http://schemas.openxmlformats.org/spreadsheetml/2006/main" count="1518" uniqueCount="1069">
  <si>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</si>
  <si>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</si>
  <si>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</si>
  <si>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</si>
  <si>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</si>
  <si>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</si>
  <si>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</si>
  <si>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</si>
  <si>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</si>
  <si>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</si>
  <si>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</si>
  <si>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</si>
  <si>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Inicial(R$)</t>
  </si>
  <si>
    <t>Quantidade de ações</t>
  </si>
  <si>
    <t>Variação $</t>
  </si>
  <si>
    <t>Resultado</t>
  </si>
  <si>
    <t>Nome da Empresa</t>
  </si>
  <si>
    <t>Segmento</t>
  </si>
  <si>
    <t>Anos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</si>
  <si>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</si>
  <si>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</si>
  <si>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</si>
  <si>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</si>
  <si>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</si>
  <si>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</si>
  <si>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</si>
  <si>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</si>
  <si>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</si>
  <si>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</si>
  <si>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</si>
  <si>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</si>
  <si>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</si>
  <si>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</si>
  <si>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</si>
  <si>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</si>
  <si>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</si>
  <si>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</si>
  <si>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</si>
  <si>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</si>
  <si>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</si>
  <si>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</si>
  <si>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</si>
  <si>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</si>
  <si>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</si>
  <si>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</si>
  <si>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</si>
  <si>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</si>
  <si>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</si>
  <si>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</si>
  <si>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</si>
  <si>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</si>
  <si>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</si>
  <si>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</si>
  <si>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</si>
  <si>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</si>
  <si>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</si>
  <si>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</si>
  <si>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</si>
  <si>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</si>
  <si>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</si>
  <si>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</si>
  <si>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</si>
  <si>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</si>
  <si>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</si>
  <si>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</si>
  <si>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</si>
  <si>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</si>
  <si>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</si>
  <si>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</si>
  <si>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</si>
  <si>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</si>
  <si>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</si>
  <si>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</si>
  <si>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</si>
  <si>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</si>
  <si>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</si>
  <si>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</si>
  <si>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</si>
  <si>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</si>
  <si>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</si>
  <si>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</si>
  <si>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</si>
  <si>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</si>
  <si>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</si>
  <si>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</si>
  <si>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</si>
  <si>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</si>
  <si>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</si>
  <si>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</si>
  <si>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</si>
  <si>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</si>
  <si>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</si>
  <si>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</si>
  <si>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</si>
  <si>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</si>
  <si>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</si>
  <si>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</si>
  <si>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</si>
  <si>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</si>
  <si>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</si>
  <si>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</si>
  <si>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</si>
  <si>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</si>
  <si>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</si>
  <si>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</si>
  <si>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</si>
  <si>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</si>
  <si>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</si>
  <si>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</si>
  <si>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</si>
  <si>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</si>
  <si>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</si>
  <si>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</si>
  <si>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</si>
  <si>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</si>
  <si>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</si>
  <si>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</si>
  <si>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</si>
  <si>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</si>
  <si>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</si>
  <si>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</si>
  <si>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</si>
  <si>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</si>
  <si>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</si>
  <si>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</si>
  <si>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</si>
  <si>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</si>
  <si>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</si>
  <si>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</si>
  <si>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</si>
  <si>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</si>
  <si>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</si>
  <si>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</si>
  <si>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</si>
  <si>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</si>
  <si>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</si>
  <si>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</si>
  <si>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</si>
  <si>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</si>
  <si>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</si>
  <si>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</si>
  <si>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</si>
  <si>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</si>
  <si>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</si>
  <si>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</si>
  <si>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</si>
  <si>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</si>
  <si>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</si>
  <si>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</si>
  <si>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</si>
  <si>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</si>
  <si>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</si>
  <si>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</si>
  <si>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</si>
  <si>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</si>
  <si>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</si>
  <si>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</si>
  <si>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</si>
  <si>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</si>
  <si>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</si>
  <si>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</si>
  <si>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</si>
  <si>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</si>
  <si>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</si>
  <si>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</si>
  <si>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</si>
  <si>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</si>
  <si>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</si>
  <si>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</si>
  <si>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</si>
  <si>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</si>
  <si>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</si>
  <si>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</si>
  <si>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</si>
  <si>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</si>
  <si>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</si>
  <si>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</si>
  <si>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</si>
  <si>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</si>
  <si>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</si>
  <si>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</si>
  <si>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</si>
  <si>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</si>
  <si>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Media</t>
  </si>
  <si>
    <t>Media de quem subiu</t>
  </si>
  <si>
    <t>Media de quem desceu</t>
  </si>
  <si>
    <t>SEGMENTO</t>
  </si>
  <si>
    <t>VARIAÇÃO</t>
  </si>
  <si>
    <t>VARIAÇÃO DE QUEM SUBIU</t>
  </si>
  <si>
    <t>Análise por Idade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</si>
  <si>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</si>
  <si>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</si>
  <si>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</si>
  <si>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</si>
  <si>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</si>
  <si>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</si>
  <si>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</si>
  <si>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</si>
  <si>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</si>
  <si>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</si>
  <si>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</si>
  <si>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</si>
  <si>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</si>
  <si>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</si>
  <si>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</si>
  <si>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</si>
  <si>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</si>
  <si>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</si>
  <si>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</si>
  <si>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</si>
  <si>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</si>
  <si>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</si>
  <si>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</si>
  <si>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</si>
  <si>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</si>
  <si>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</si>
  <si>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</si>
  <si>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</si>
  <si>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</si>
  <si>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</si>
  <si>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</si>
  <si>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</si>
  <si>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</si>
  <si>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</si>
  <si>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</si>
  <si>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</si>
  <si>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</si>
  <si>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</si>
  <si>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</si>
  <si>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</si>
  <si>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</si>
  <si>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</si>
  <si>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</si>
  <si>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</si>
  <si>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</si>
  <si>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</si>
  <si>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</si>
  <si>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</si>
  <si>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</si>
  <si>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</si>
  <si>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</si>
  <si>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</si>
  <si>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</si>
  <si>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</si>
  <si>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</si>
  <si>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</si>
  <si>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</si>
  <si>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</si>
  <si>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</si>
  <si>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</si>
  <si>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</si>
  <si>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</si>
  <si>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</si>
  <si>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</si>
  <si>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</si>
  <si>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</si>
  <si>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</si>
  <si>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</si>
  <si>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</si>
  <si>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</si>
  <si>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</si>
  <si>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</si>
  <si>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</si>
  <si>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</si>
  <si>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</si>
  <si>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</si>
  <si>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</si>
  <si>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</si>
  <si>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</si>
  <si>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</si>
  <si>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</si>
  <si>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</si>
  <si>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</si>
  <si>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</si>
  <si>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</si>
  <si>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</si>
  <si>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</si>
  <si>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</si>
  <si>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</si>
  <si>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</si>
  <si>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</si>
  <si>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</si>
  <si>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</si>
  <si>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</si>
  <si>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</si>
  <si>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</si>
  <si>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</si>
  <si>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</si>
  <si>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</si>
  <si>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</si>
  <si>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</si>
  <si>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</si>
  <si>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</si>
  <si>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</si>
  <si>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</si>
  <si>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</si>
  <si>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</si>
  <si>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</si>
  <si>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</si>
  <si>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</si>
  <si>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</si>
  <si>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</si>
  <si>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</si>
  <si>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</si>
  <si>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</si>
  <si>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</si>
  <si>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</si>
  <si>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</si>
  <si>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</si>
  <si>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</si>
  <si>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</si>
  <si>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</si>
  <si>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</si>
  <si>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</si>
  <si>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</si>
  <si>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</si>
  <si>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</si>
  <si>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</si>
  <si>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</si>
  <si>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</si>
  <si>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</si>
  <si>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</si>
  <si>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</si>
  <si>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</si>
  <si>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</si>
  <si>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</si>
  <si>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</si>
  <si>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</si>
  <si>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</si>
  <si>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</si>
  <si>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</si>
  <si>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</si>
  <si>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</si>
  <si>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</si>
  <si>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</si>
  <si>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</si>
  <si>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</si>
  <si>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</si>
  <si>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</si>
  <si>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</si>
  <si>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</si>
  <si>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</si>
  <si>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</si>
  <si>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</si>
  <si>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</si>
  <si>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</si>
  <si>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</si>
  <si>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</si>
  <si>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</si>
  <si>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</si>
  <si>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</si>
  <si>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</si>
  <si>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</si>
  <si>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</si>
  <si>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</si>
  <si>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</si>
  <si>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</si>
  <si>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</si>
  <si>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</si>
  <si>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</si>
  <si>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</si>
  <si>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</si>
  <si>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</si>
  <si>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</si>
  <si>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</si>
  <si>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</si>
  <si>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</si>
  <si>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</si>
  <si>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</si>
  <si>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</si>
  <si>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</si>
  <si>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</si>
  <si>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</si>
  <si>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</si>
  <si>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</si>
  <si>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</si>
  <si>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</si>
  <si>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</si>
  <si>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</si>
  <si>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</si>
  <si>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</si>
  <si>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</si>
  <si>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</si>
  <si>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</si>
  <si>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</si>
  <si>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</si>
  <si>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</si>
  <si>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</si>
  <si>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</si>
  <si>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</si>
  <si>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</si>
  <si>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</si>
  <si>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</si>
  <si>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</si>
  <si>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</si>
  <si>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</si>
  <si>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</si>
  <si>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</si>
  <si>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</si>
  <si>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</si>
  <si>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</si>
  <si>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</si>
  <si>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</si>
  <si>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</si>
  <si>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</si>
  <si>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</si>
  <si>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</si>
  <si>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</si>
  <si>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</si>
  <si>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</si>
  <si>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</si>
  <si>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</si>
  <si>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</si>
  <si>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</si>
  <si>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</si>
  <si>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</si>
  <si>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</si>
  <si>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</si>
  <si>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</si>
  <si>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</si>
  <si>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</si>
  <si>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</si>
  <si>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</si>
  <si>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</si>
  <si>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</si>
  <si>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</si>
  <si>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</si>
  <si>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</si>
  <si>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</si>
  <si>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</si>
  <si>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</si>
  <si>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</si>
  <si>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</si>
  <si>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</si>
  <si>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</si>
  <si>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</si>
  <si>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</si>
  <si>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</si>
  <si>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</si>
  <si>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</si>
  <si>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</si>
  <si>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</si>
  <si>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</si>
  <si>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</si>
  <si>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</si>
  <si>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</si>
  <si>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</si>
  <si>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</si>
  <si>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</si>
  <si>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</si>
  <si>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</si>
  <si>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</si>
  <si>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</si>
  <si>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</si>
  <si>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</si>
  <si>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</si>
  <si>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</si>
  <si>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</si>
  <si>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</si>
  <si>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</si>
  <si>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</si>
  <si>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</si>
  <si>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</si>
  <si>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</si>
  <si>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</si>
  <si>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</si>
  <si>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</si>
  <si>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</si>
  <si>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</si>
  <si>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</si>
  <si>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</si>
  <si>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</si>
  <si>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</si>
  <si>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</si>
  <si>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</si>
  <si>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</si>
  <si>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</si>
  <si>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</si>
  <si>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</si>
  <si>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</si>
  <si>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</si>
  <si>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</si>
  <si>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</si>
  <si>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</si>
  <si>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</si>
  <si>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</si>
  <si>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</si>
  <si>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</si>
  <si>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</si>
  <si>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</si>
  <si>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</si>
  <si>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</si>
  <si>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</si>
  <si>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</si>
  <si>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</si>
  <si>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</si>
  <si>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</si>
  <si>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</si>
  <si>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</si>
  <si>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</si>
  <si>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</si>
  <si>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</si>
  <si>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</si>
  <si>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</si>
  <si>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</si>
  <si>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</si>
  <si>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</si>
  <si>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</si>
  <si>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</si>
  <si>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</si>
  <si>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</si>
  <si>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</si>
  <si>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</si>
  <si>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</si>
  <si>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</si>
  <si>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</si>
  <si>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</si>
  <si>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</si>
  <si>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</si>
  <si>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</si>
  <si>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</si>
  <si>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</si>
  <si>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</si>
  <si>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</si>
  <si>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</si>
  <si>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</si>
  <si>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</si>
  <si>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</si>
  <si>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</si>
  <si>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</si>
  <si>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</si>
  <si>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</si>
  <si>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</si>
  <si>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</si>
  <si>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</si>
  <si>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</si>
  <si>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</si>
  <si>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</si>
  <si>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</si>
  <si>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</si>
  <si>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</si>
  <si>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</si>
  <si>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</si>
  <si>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</si>
  <si>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</si>
  <si>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</si>
  <si>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</si>
  <si>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</si>
  <si>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</si>
  <si>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</si>
  <si>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</si>
  <si>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</si>
  <si>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</si>
  <si>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</si>
  <si>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</si>
  <si>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</si>
  <si>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</si>
  <si>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</si>
  <si>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</si>
  <si>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</si>
  <si>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</si>
  <si>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</si>
  <si>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</si>
  <si>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</si>
  <si>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</si>
  <si>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</si>
  <si>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</si>
  <si>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</si>
  <si>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</si>
  <si>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</si>
  <si>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</si>
  <si>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</si>
  <si>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</si>
  <si>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</si>
  <si>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</si>
  <si>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</si>
  <si>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</si>
  <si>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</si>
  <si>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</si>
  <si>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</si>
  <si>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</si>
  <si>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</si>
  <si>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</si>
  <si>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</si>
  <si>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</si>
  <si>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</si>
  <si>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</si>
  <si>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</si>
  <si>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</si>
  <si>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</si>
  <si>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</si>
  <si>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</si>
  <si>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</si>
  <si>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</si>
  <si>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</si>
  <si>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</si>
  <si>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</si>
  <si>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</si>
  <si>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</si>
  <si>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</si>
  <si>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</si>
  <si>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</si>
  <si>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</si>
  <si>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</si>
  <si>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</si>
  <si>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</si>
  <si>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</si>
  <si>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</si>
  <si>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</si>
  <si>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</si>
  <si>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</si>
  <si>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</si>
  <si>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</si>
  <si>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</si>
  <si>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</si>
  <si>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</si>
  <si>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</si>
  <si>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</si>
  <si>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</si>
  <si>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</si>
  <si>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</si>
  <si>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</si>
  <si>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</si>
  <si>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</si>
  <si>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</si>
  <si>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</si>
  <si>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</si>
  <si>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</si>
  <si>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</si>
  <si>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</si>
  <si>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</si>
  <si>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</si>
  <si>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</si>
  <si>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</si>
  <si>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</si>
  <si>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</si>
  <si>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</si>
  <si>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</si>
  <si>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</si>
  <si>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</si>
  <si>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</si>
  <si>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</si>
  <si>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</si>
  <si>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</si>
  <si>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</si>
  <si>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</si>
  <si>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</si>
  <si>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</si>
  <si>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</si>
  <si>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</si>
  <si>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</si>
  <si>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</si>
  <si>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</si>
  <si>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</si>
  <si>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</si>
  <si>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</si>
  <si>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</si>
  <si>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</si>
  <si>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</si>
  <si>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</si>
  <si>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</si>
  <si>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</si>
  <si>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</si>
  <si>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</si>
  <si>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</si>
  <si>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</si>
  <si>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</si>
  <si>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</si>
  <si>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</si>
  <si>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</si>
  <si>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</si>
  <si>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</si>
  <si>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</si>
  <si>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</si>
  <si>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</si>
  <si>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</si>
  <si>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</si>
  <si>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</si>
  <si>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</si>
  <si>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</si>
  <si>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</si>
  <si>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</si>
  <si>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</si>
  <si>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</si>
  <si>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</si>
  <si>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</si>
  <si>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</si>
  <si>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</si>
  <si>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</si>
  <si>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</si>
  <si>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</si>
  <si>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</si>
  <si>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</si>
  <si>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</si>
  <si>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</si>
  <si>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</si>
  <si>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</si>
  <si>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</si>
  <si>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</si>
  <si>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</si>
  <si>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</si>
  <si>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</si>
  <si>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</si>
  <si>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</si>
  <si>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</si>
  <si>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</si>
  <si>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</si>
  <si>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</si>
  <si>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</si>
  <si>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</si>
  <si>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</si>
  <si>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</si>
  <si>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</si>
  <si>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</si>
  <si>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</si>
  <si>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</si>
  <si>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</si>
  <si>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</si>
  <si>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</si>
  <si>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</si>
  <si>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</si>
  <si>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</si>
  <si>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</si>
  <si>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</si>
  <si>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</si>
  <si>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</si>
  <si>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</si>
  <si>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</si>
  <si>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</si>
  <si>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</si>
  <si>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</si>
  <si>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</si>
  <si>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</si>
  <si>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</si>
  <si>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</si>
  <si>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</si>
  <si>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</si>
  <si>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</si>
  <si>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</si>
  <si>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</si>
  <si>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</si>
  <si>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</si>
  <si>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</si>
  <si>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</si>
  <si>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</si>
  <si>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</si>
  <si>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</si>
  <si>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</si>
  <si>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</si>
  <si>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</si>
  <si>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</si>
  <si>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</si>
  <si>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</si>
  <si>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</si>
  <si>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</si>
  <si>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</si>
  <si>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</si>
  <si>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</si>
  <si>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</si>
  <si>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</si>
  <si>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</si>
  <si>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</si>
  <si>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</si>
  <si>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</si>
  <si>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</si>
  <si>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</si>
  <si>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</si>
  <si>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</si>
  <si>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</si>
  <si>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</si>
  <si>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</si>
  <si>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</si>
  <si>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</si>
  <si>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</si>
  <si>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</si>
  <si>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</si>
  <si>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</si>
  <si>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</si>
  <si>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</si>
  <si>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</si>
  <si>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</si>
  <si>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</si>
  <si>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</si>
  <si>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</si>
  <si>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</si>
  <si>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</si>
  <si>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</si>
  <si>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</si>
  <si>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</si>
  <si>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</si>
  <si>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</si>
  <si>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</si>
  <si>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</si>
  <si>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</si>
  <si>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</si>
  <si>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</si>
  <si>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</si>
  <si>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</si>
  <si>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</si>
  <si>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</si>
  <si>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</si>
  <si>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</si>
  <si>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</si>
  <si>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</si>
  <si>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</si>
  <si>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</si>
  <si>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</si>
  <si>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</si>
  <si>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</si>
  <si>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</si>
  <si>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</si>
  <si>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</si>
  <si>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</si>
  <si>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</si>
  <si>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</si>
  <si>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</si>
  <si>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</si>
  <si>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</si>
  <si>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</si>
  <si>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</si>
  <si>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</si>
  <si>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</si>
  <si>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</si>
  <si>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</si>
  <si>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</si>
  <si>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</si>
  <si>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</si>
  <si>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</si>
  <si>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</si>
  <si>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</si>
  <si>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</si>
  <si>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</si>
  <si>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</si>
  <si>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</si>
  <si>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</si>
  <si>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</si>
  <si>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</si>
  <si>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</si>
  <si>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</si>
  <si>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</si>
  <si>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</si>
  <si>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</si>
  <si>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</si>
  <si>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</si>
  <si>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</si>
  <si>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</si>
  <si>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</si>
  <si>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</si>
  <si>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</si>
  <si>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</si>
  <si>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</si>
  <si>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</si>
  <si>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</si>
  <si>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</si>
  <si>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</si>
  <si>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</si>
  <si>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</si>
  <si>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</si>
  <si>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</si>
  <si>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</si>
  <si>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</si>
  <si>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</si>
  <si>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</si>
  <si>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</si>
  <si>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</si>
  <si>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</si>
  <si>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</si>
  <si>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</si>
  <si>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</si>
  <si>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</si>
  <si>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</si>
  <si>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</si>
  <si>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</si>
  <si>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</si>
  <si>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</si>
  <si>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</si>
  <si>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</si>
  <si>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</si>
  <si>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</si>
  <si>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</si>
  <si>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</si>
  <si>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</si>
  <si>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</si>
  <si>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</si>
  <si>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</si>
  <si>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</si>
  <si>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</si>
  <si>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</si>
  <si>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</si>
  <si>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</si>
  <si>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</si>
  <si>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</si>
  <si>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</si>
  <si>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</si>
  <si>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</si>
  <si>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</si>
  <si>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</si>
  <si>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</si>
  <si>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</si>
  <si>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</si>
  <si>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</si>
  <si>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</si>
  <si>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</si>
  <si>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</si>
  <si>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</si>
  <si>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</si>
  <si>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</si>
  <si>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</si>
  <si>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</si>
  <si>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</si>
  <si>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</si>
  <si>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</si>
  <si>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</si>
  <si>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</si>
  <si>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</si>
  <si>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</si>
  <si>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</si>
  <si>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</si>
  <si>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</si>
  <si>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</si>
  <si>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</si>
  <si>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</si>
  <si>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</si>
  <si>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</si>
  <si>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</si>
  <si>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</si>
  <si>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</si>
  <si>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</si>
  <si>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</si>
  <si>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</si>
  <si>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</si>
  <si>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</si>
  <si>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</si>
  <si>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</si>
  <si>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</si>
  <si>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</si>
  <si>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</si>
  <si>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</si>
  <si>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</si>
  <si>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</si>
  <si>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</si>
  <si>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</si>
  <si>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</si>
  <si>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</si>
  <si>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</si>
  <si>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</si>
  <si>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</si>
  <si>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</si>
  <si>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</si>
  <si>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</si>
  <si>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</si>
  <si>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</si>
  <si>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</si>
  <si>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</si>
  <si>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</si>
  <si>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</si>
  <si>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</si>
  <si>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</si>
  <si>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</si>
  <si>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</si>
  <si>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</si>
  <si>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</si>
  <si>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</si>
  <si>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</si>
  <si>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</si>
  <si>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</si>
  <si>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</si>
  <si>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</si>
  <si>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</si>
  <si>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</si>
  <si>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</si>
  <si>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</si>
  <si>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</si>
  <si>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</si>
  <si>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</si>
  <si>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</si>
  <si>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</si>
  <si>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</si>
  <si>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</si>
  <si>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</si>
  <si>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</si>
  <si>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</si>
  <si>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</si>
  <si>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</si>
  <si>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</si>
  <si>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</si>
  <si>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</si>
  <si>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</si>
  <si>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</si>
  <si>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</si>
  <si>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</si>
  <si>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</si>
  <si>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</si>
  <si>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</si>
  <si>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</si>
  <si>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</si>
  <si>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</si>
  <si>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</si>
  <si>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</si>
  <si>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</si>
  <si>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</si>
  <si>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</si>
  <si>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</si>
  <si>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</si>
  <si>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</si>
  <si>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</si>
  <si>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</si>
  <si>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</si>
  <si>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</si>
  <si>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</si>
  <si>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</si>
  <si>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</si>
  <si>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</si>
  <si>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</si>
  <si>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</si>
  <si>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</si>
  <si>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</si>
  <si>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</si>
  <si>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</si>
  <si>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</si>
  <si>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</si>
  <si>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</si>
  <si>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</si>
  <si>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</si>
  <si>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</si>
  <si>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</si>
  <si>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</si>
  <si>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</si>
  <si>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</si>
  <si>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</si>
  <si>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em anos</t>
  </si>
  <si>
    <t>Siderurgia</t>
  </si>
  <si>
    <t>Mineração</t>
  </si>
  <si>
    <t>Petróleo e Gás</t>
  </si>
  <si>
    <t>Papel e Celulose</t>
  </si>
  <si>
    <t>Energia Elétrica</t>
  </si>
  <si>
    <t>Shopping Centers</t>
  </si>
  <si>
    <t>Bancos</t>
  </si>
  <si>
    <t>Saúde</t>
  </si>
  <si>
    <t>Petroquímica</t>
  </si>
  <si>
    <t>Transporte Aéreo</t>
  </si>
  <si>
    <t>Educação</t>
  </si>
  <si>
    <t>Distribuição</t>
  </si>
  <si>
    <t>Construção Civil</t>
  </si>
  <si>
    <t>Vestuário</t>
  </si>
  <si>
    <t>Alimentos</t>
  </si>
  <si>
    <t>Telecomunicações</t>
  </si>
  <si>
    <t>Logística</t>
  </si>
  <si>
    <t>Serviços Financeiros</t>
  </si>
  <si>
    <t>Holding Diversificada</t>
  </si>
  <si>
    <t>Tecnologia</t>
  </si>
  <si>
    <t>Energia e Logística</t>
  </si>
  <si>
    <t>Varejo</t>
  </si>
  <si>
    <t>Energia e Biocombustível</t>
  </si>
  <si>
    <t>Bebidas</t>
  </si>
  <si>
    <t>Seguros</t>
  </si>
  <si>
    <t>Saneamento Básico</t>
  </si>
  <si>
    <t>Energia</t>
  </si>
  <si>
    <t>Equipamentos Elétricos</t>
  </si>
  <si>
    <t>Agronegócio</t>
  </si>
  <si>
    <t>Infraestrutura</t>
  </si>
  <si>
    <t>Calçados</t>
  </si>
  <si>
    <t>Aeronáutica</t>
  </si>
  <si>
    <t>Cosméticos</t>
  </si>
  <si>
    <t>Alimentos e Varejo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</si>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</sst>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color rgb="FF0D0D0D"/>
      <name val="Söhne"/>
    </font>
  </fonts>
  <fills count="14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6AA84F"/>
        <bgColor rgb="FF6AA84F"/>
      </patternFill>
    </fill>
    <fill>
      <patternFill patternType="solid">
        <fgColor rgb="FFD9F2D0"/>
        <bgColor rgb="FFD9F2D0"/>
      </patternFill>
    </fill>
    <fill>
      <patternFill patternType="solid">
        <fgColor rgb="FFB6D7A8"/>
        <bgColor rgb="FFB6D7A8"/>
      </patternFill>
    </fill>
    <fill>
      <patternFill patternType="solid">
        <fgColor rgb="FFC1E4F5"/>
        <bgColor rgb="FFC1E4F5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DEDED"/>
        <bgColor rgb="FFEDEDED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0" xfId="0" applyFill="1" applyFon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0" fontId="2" numFmtId="0" xfId="0" applyFon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5" fontId="4" numFmtId="0" xfId="0" applyFill="1" applyFont="1"/>
    <xf borderId="0" fillId="6" fontId="3" numFmtId="0" xfId="0" applyAlignment="1" applyFill="1" applyFont="1">
      <alignment vertical="bottom"/>
    </xf>
    <xf borderId="0" fillId="6" fontId="3" numFmtId="14" xfId="0" applyAlignment="1" applyFont="1" applyNumberFormat="1">
      <alignment horizontal="right" vertical="bottom"/>
    </xf>
    <xf borderId="0" fillId="6" fontId="3" numFmtId="2" xfId="0" applyAlignment="1" applyFont="1" applyNumberFormat="1">
      <alignment horizontal="right" vertical="bottom"/>
    </xf>
    <xf borderId="0" fillId="6" fontId="3" numFmtId="0" xfId="0" applyAlignment="1" applyFont="1">
      <alignment horizontal="right" vertical="bottom"/>
    </xf>
    <xf borderId="0" fillId="7" fontId="4" numFmtId="0" xfId="0" applyFill="1" applyFont="1"/>
    <xf borderId="0" fillId="8" fontId="4" numFmtId="0" xfId="0" applyFill="1" applyFont="1"/>
    <xf borderId="0" fillId="6" fontId="5" numFmtId="0" xfId="0" applyAlignment="1" applyFont="1">
      <alignment vertical="bottom"/>
    </xf>
    <xf borderId="0" fillId="6" fontId="5" numFmtId="2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9" fontId="6" numFmtId="0" xfId="0" applyAlignment="1" applyFill="1" applyFont="1">
      <alignment readingOrder="0"/>
    </xf>
    <xf borderId="0" fillId="9" fontId="7" numFmtId="164" xfId="0" applyFont="1" applyNumberFormat="1"/>
    <xf borderId="0" fillId="9" fontId="7" numFmtId="0" xfId="0" applyAlignment="1" applyFont="1">
      <alignment horizontal="center"/>
    </xf>
    <xf borderId="0" fillId="10" fontId="6" numFmtId="0" xfId="0" applyAlignment="1" applyFill="1" applyFont="1">
      <alignment readingOrder="0"/>
    </xf>
    <xf borderId="0" fillId="10" fontId="7" numFmtId="164" xfId="0" applyFont="1" applyNumberFormat="1"/>
    <xf borderId="0" fillId="10" fontId="7" numFmtId="0" xfId="0" applyAlignment="1" applyFont="1">
      <alignment horizontal="center"/>
    </xf>
    <xf borderId="0" fillId="9" fontId="7" numFmtId="0" xfId="0" applyFont="1"/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9" fontId="7" numFmtId="164" xfId="0" applyFont="1" applyNumberFormat="1"/>
    <xf borderId="0" fillId="11" fontId="6" numFmtId="0" xfId="0" applyAlignment="1" applyFill="1" applyFont="1">
      <alignment horizontal="center" readingOrder="0"/>
    </xf>
    <xf borderId="0" fillId="11" fontId="6" numFmtId="0" xfId="0" applyAlignment="1" applyFont="1">
      <alignment readingOrder="0"/>
    </xf>
    <xf borderId="1" fillId="0" fontId="6" numFmtId="0" xfId="0" applyBorder="1" applyFont="1"/>
    <xf borderId="2" fillId="0" fontId="7" numFmtId="164" xfId="0" applyBorder="1" applyFont="1" applyNumberFormat="1"/>
    <xf borderId="3" fillId="0" fontId="7" numFmtId="164" xfId="0" applyBorder="1" applyFont="1" applyNumberFormat="1"/>
    <xf borderId="4" fillId="0" fontId="6" numFmtId="0" xfId="0" applyBorder="1" applyFont="1"/>
    <xf borderId="5" fillId="0" fontId="7" numFmtId="164" xfId="0" applyBorder="1" applyFont="1" applyNumberFormat="1"/>
    <xf borderId="6" fillId="0" fontId="6" numFmtId="0" xfId="0" applyBorder="1" applyFont="1"/>
    <xf borderId="7" fillId="0" fontId="7" numFmtId="164" xfId="0" applyBorder="1" applyFont="1" applyNumberFormat="1"/>
    <xf borderId="8" fillId="0" fontId="7" numFmtId="164" xfId="0" applyBorder="1" applyFont="1" applyNumberFormat="1"/>
    <xf borderId="0" fillId="10" fontId="7" numFmtId="0" xfId="0" applyFont="1"/>
    <xf borderId="0" fillId="12" fontId="6" numFmtId="164" xfId="0" applyAlignment="1" applyFill="1" applyFont="1" applyNumberFormat="1">
      <alignment horizontal="center"/>
    </xf>
    <xf borderId="0" fillId="12" fontId="6" numFmtId="0" xfId="0" applyAlignment="1" applyFont="1">
      <alignment horizontal="center" readingOrder="0"/>
    </xf>
    <xf borderId="0" fillId="0" fontId="7" numFmtId="0" xfId="0" applyFont="1"/>
    <xf borderId="0" fillId="12" fontId="6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Font="1"/>
    <xf borderId="0" fillId="4" fontId="3" numFmtId="0" xfId="0" applyAlignment="1" applyFont="1">
      <alignment shrinkToFit="0" vertical="bottom" wrapText="0"/>
    </xf>
    <xf borderId="9" fillId="13" fontId="9" numFmtId="0" xfId="0" applyAlignment="1" applyBorder="1" applyFill="1" applyFont="1">
      <alignment horizontal="center" vertical="bottom"/>
    </xf>
    <xf borderId="7" fillId="13" fontId="9" numFmtId="0" xfId="0" applyAlignment="1" applyBorder="1" applyFont="1">
      <alignment horizontal="center" vertical="bottom"/>
    </xf>
    <xf borderId="10" fillId="10" fontId="9" numFmtId="0" xfId="0" applyAlignment="1" applyBorder="1" applyFont="1">
      <alignment horizontal="left"/>
    </xf>
    <xf borderId="11" fillId="10" fontId="9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'Analíses'!$C$9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'Analíses'!$A$10:$A$47</c:f>
            </c:strRef>
          </c:cat>
          <c:val>
            <c:numRef>
              <c:f>'Analíses'!$C$10:$C$47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'Analíses'!$B$56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'Analíses'!$A$57:$A$59</c:f>
            </c:strRef>
          </c:cat>
          <c:val>
            <c:numRef>
              <c:f>'Analíses'!$B$57:$B$59</c:f>
              <c:numCache/>
            </c:numRef>
          </c:val>
        </c:ser>
        <c:axId val="1582146109"/>
        <c:axId val="1465696554"/>
      </c:barChart>
      <c:catAx>
        <c:axId val="1582146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696554"/>
      </c:catAx>
      <c:valAx>
        <c:axId val="1465696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146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'Analíses'!$C$56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'Analíses'!$A$57:$A$59</c:f>
            </c:strRef>
          </c:cat>
          <c:val>
            <c:numRef>
              <c:f>'Analíses'!$C$57:$C$59</c:f>
              <c:numCache/>
            </c:numRef>
          </c:val>
        </c:ser>
        <c:axId val="456490711"/>
        <c:axId val="1981188870"/>
      </c:barChart>
      <c:catAx>
        <c:axId val="456490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188870"/>
      </c:catAx>
      <c:valAx>
        <c:axId val="1981188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490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'Analíses'!$B$51:$B$53</cx:f>
      </cx:numDim>
      <cx:strDim type="cat">
        <cx:f>'Analíses'!$A$51:$A$53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$ versus Resultado</a:t>
          </a:r>
        </a:p>
      </cx:txPr>
    </cx:title>
    <cx:plotArea>
      <cx:plotAreaRegion>
        <cx:series layoutId="waterfall" uniqueId="{E6A0E0F1-E96C-41C2-93F5-ACBCEDFDF164}">
          <cx:tx>
            <cx:txData>
              <cx:f>'Analíses'!$B$50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$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8</xdr:row>
      <xdr:rowOff>0</xdr:rowOff>
    </xdr:from>
    <xdr:ext cx="6457950" cy="4362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31</xdr:row>
      <xdr:rowOff>171450</xdr:rowOff>
    </xdr:from>
    <xdr:ext cx="6648450" cy="4181475"/>
    <mc:AlternateContent>
      <mc:Choice Requires="cx1">
        <xdr:graphicFrame>
          <xdr:nvGraphicFramePr>
            <xdr:cNvPr id="2" name="Chart 2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3</xdr:col>
      <xdr:colOff>942975</xdr:colOff>
      <xdr:row>70</xdr:row>
      <xdr:rowOff>133350</xdr:rowOff>
    </xdr:from>
    <xdr:ext cx="4629150" cy="28289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</xdr:colOff>
      <xdr:row>54</xdr:row>
      <xdr:rowOff>161925</xdr:rowOff>
    </xdr:from>
    <xdr:ext cx="4572000" cy="28289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5.88"/>
    <col customWidth="1" min="14" max="14" width="19.38"/>
    <col customWidth="1" min="15" max="15" width="17.13"/>
    <col customWidth="1" min="17" max="17" width="17.0"/>
    <col customWidth="1" min="18" max="18" width="19.88"/>
    <col customWidth="1" min="20" max="20" width="11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6">
        <v>45317.0</v>
      </c>
      <c r="C2" s="7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5" t="s">
        <v>21</v>
      </c>
      <c r="L2" s="9">
        <f t="shared" ref="L2:L82" si="1">D2/100</f>
        <v>0.052</v>
      </c>
      <c r="M2" s="10">
        <f t="shared" ref="M2:M82" si="2">C2/(L2+1)</f>
        <v>9.030418251</v>
      </c>
      <c r="N2" s="11">
        <f>VLOOKUP(A2,Total_de_acoes!A:B,2,0)</f>
        <v>515117391</v>
      </c>
      <c r="O2" s="12">
        <f t="shared" ref="O2:O82" si="3">(C2-M2)*N2</f>
        <v>241889725.4</v>
      </c>
      <c r="P2" s="13" t="str">
        <f t="shared" ref="P2:P82" si="4">IF(O2&gt;0,"subiu",if(O2&lt;0,"desceu","estavel"))</f>
        <v>subiu</v>
      </c>
      <c r="Q2" s="9" t="str">
        <f>VLOOKUP(A2,Ticker!A:B,2,0)</f>
        <v>Usiminas</v>
      </c>
      <c r="R2" s="9" t="str">
        <f>VLOOKUP(Q2,Chatgpt!A:C,2,0)</f>
        <v>Siderurgia</v>
      </c>
      <c r="S2" s="9">
        <f>VLOOKUP(Q2,Chatgpt!A:C,3,0)</f>
        <v>64</v>
      </c>
      <c r="T2" s="9" t="str">
        <f t="shared" ref="T2:T82" si="5">if(S2&gt;100,"maior que 100",if(S2&lt;50,"menor que 50","entre 50 e 100"))</f>
        <v>entre 50 e 100</v>
      </c>
    </row>
    <row r="3" ht="15.75" customHeight="1">
      <c r="A3" s="14" t="s">
        <v>22</v>
      </c>
      <c r="B3" s="15">
        <v>45317.0</v>
      </c>
      <c r="C3" s="16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4" t="s">
        <v>23</v>
      </c>
      <c r="L3" s="9">
        <f t="shared" si="1"/>
        <v>0.024</v>
      </c>
      <c r="M3" s="10">
        <f t="shared" si="2"/>
        <v>6.66015625</v>
      </c>
      <c r="N3" s="11">
        <f>VLOOKUP(A3,Total_de_acoes!A:B,2,0)</f>
        <v>1110559345</v>
      </c>
      <c r="O3" s="12">
        <f t="shared" si="3"/>
        <v>177515970.3</v>
      </c>
      <c r="P3" s="13" t="str">
        <f t="shared" si="4"/>
        <v>subiu</v>
      </c>
      <c r="Q3" s="9" t="str">
        <f>VLOOKUP(A3,Ticker!A:B,2,0)</f>
        <v>CSN Mineração</v>
      </c>
      <c r="R3" s="9" t="str">
        <f>VLOOKUP(Q3,Chatgpt!A:C,2,0)</f>
        <v>Mineração</v>
      </c>
      <c r="S3" s="9">
        <f>VLOOKUP(Q3,Chatgpt!A:C,3,0)</f>
        <v>8</v>
      </c>
      <c r="T3" s="9" t="str">
        <f t="shared" si="5"/>
        <v>menor que 50</v>
      </c>
    </row>
    <row r="4" ht="15.75" customHeight="1">
      <c r="A4" s="5" t="s">
        <v>24</v>
      </c>
      <c r="B4" s="6">
        <v>45317.0</v>
      </c>
      <c r="C4" s="7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5" t="s">
        <v>25</v>
      </c>
      <c r="L4" s="9">
        <f t="shared" si="1"/>
        <v>0.0219</v>
      </c>
      <c r="M4" s="10">
        <f t="shared" si="2"/>
        <v>41.06076916</v>
      </c>
      <c r="N4" s="11">
        <f>VLOOKUP(A4,Total_de_acoes!A:B,2,0)</f>
        <v>2379877655</v>
      </c>
      <c r="O4" s="12">
        <f t="shared" si="3"/>
        <v>2140059394</v>
      </c>
      <c r="P4" s="13" t="str">
        <f t="shared" si="4"/>
        <v>subiu</v>
      </c>
      <c r="Q4" s="9" t="str">
        <f>VLOOKUP(A4,Ticker!A:B,2,0)</f>
        <v>Petrobras</v>
      </c>
      <c r="R4" s="9" t="str">
        <f>VLOOKUP(Q4,Chatgpt!A:C,2,0)</f>
        <v>Petróleo e Gás</v>
      </c>
      <c r="S4" s="9">
        <f>VLOOKUP(Q4,Chatgpt!A:C,3,0)</f>
        <v>69</v>
      </c>
      <c r="T4" s="9" t="str">
        <f t="shared" si="5"/>
        <v>entre 50 e 100</v>
      </c>
    </row>
    <row r="5" ht="15.75" customHeight="1">
      <c r="A5" s="14" t="s">
        <v>26</v>
      </c>
      <c r="B5" s="15">
        <v>45317.0</v>
      </c>
      <c r="C5" s="16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4" t="s">
        <v>27</v>
      </c>
      <c r="L5" s="9">
        <f t="shared" si="1"/>
        <v>0.0204</v>
      </c>
      <c r="M5" s="10">
        <f t="shared" si="2"/>
        <v>51.85221482</v>
      </c>
      <c r="N5" s="11">
        <f>VLOOKUP(A5,Total_de_acoes!A:B,2,0)</f>
        <v>683452836</v>
      </c>
      <c r="O5" s="12">
        <f t="shared" si="3"/>
        <v>722946282.7</v>
      </c>
      <c r="P5" s="13" t="str">
        <f t="shared" si="4"/>
        <v>subiu</v>
      </c>
      <c r="Q5" s="9" t="str">
        <f>VLOOKUP(A5,Ticker!A:B,2,0)</f>
        <v>Suzano</v>
      </c>
      <c r="R5" s="9" t="str">
        <f>VLOOKUP(Q5,Chatgpt!A:C,2,0)</f>
        <v>Papel e Celulose</v>
      </c>
      <c r="S5" s="9">
        <f>VLOOKUP(Q5,Chatgpt!A:C,3,0)</f>
        <v>99</v>
      </c>
      <c r="T5" s="9" t="str">
        <f t="shared" si="5"/>
        <v>entre 50 e 100</v>
      </c>
    </row>
    <row r="6" ht="15.75" customHeight="1">
      <c r="A6" s="5" t="s">
        <v>28</v>
      </c>
      <c r="B6" s="6">
        <v>45317.0</v>
      </c>
      <c r="C6" s="7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5" t="s">
        <v>29</v>
      </c>
      <c r="L6" s="9">
        <f t="shared" si="1"/>
        <v>0.0203</v>
      </c>
      <c r="M6" s="10">
        <f t="shared" si="2"/>
        <v>36.36185436</v>
      </c>
      <c r="N6" s="11">
        <f>VLOOKUP(A6,Total_de_acoes!A:B,2,0)</f>
        <v>187732538</v>
      </c>
      <c r="O6" s="12">
        <f t="shared" si="3"/>
        <v>138573955.1</v>
      </c>
      <c r="P6" s="13" t="str">
        <f t="shared" si="4"/>
        <v>subiu</v>
      </c>
      <c r="Q6" s="9" t="str">
        <f>VLOOKUP(A6,Ticker!A:B,2,0)</f>
        <v>CPFL Energia</v>
      </c>
      <c r="R6" s="9" t="str">
        <f>VLOOKUP(Q6,Chatgpt!A:C,2,0)</f>
        <v>Energia Elétrica</v>
      </c>
      <c r="S6" s="9">
        <f>VLOOKUP(Q6,Chatgpt!A:C,3,0)</f>
        <v>109</v>
      </c>
      <c r="T6" s="9" t="str">
        <f t="shared" si="5"/>
        <v>maior que 100</v>
      </c>
    </row>
    <row r="7" ht="15.75" customHeight="1">
      <c r="A7" s="14" t="s">
        <v>30</v>
      </c>
      <c r="B7" s="15">
        <v>45317.0</v>
      </c>
      <c r="C7" s="16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4" t="s">
        <v>31</v>
      </c>
      <c r="L7" s="9">
        <f t="shared" si="1"/>
        <v>0.0198</v>
      </c>
      <c r="M7" s="10">
        <f t="shared" si="2"/>
        <v>44.80290253</v>
      </c>
      <c r="N7" s="11">
        <f>VLOOKUP(A7,Total_de_acoes!A:B,2,0)</f>
        <v>800010734</v>
      </c>
      <c r="O7" s="12">
        <f t="shared" si="3"/>
        <v>709687498.2</v>
      </c>
      <c r="P7" s="13" t="str">
        <f t="shared" si="4"/>
        <v>subiu</v>
      </c>
      <c r="Q7" s="9" t="str">
        <f>VLOOKUP(A7,Ticker!A:B,2,0)</f>
        <v>PetroRio</v>
      </c>
      <c r="R7" s="9" t="str">
        <f>VLOOKUP(Q7,Chatgpt!A:C,2,0)</f>
        <v>Petróleo e Gás</v>
      </c>
      <c r="S7" s="9">
        <f>VLOOKUP(Q7,Chatgpt!A:C,3,0)</f>
        <v>12</v>
      </c>
      <c r="T7" s="9" t="str">
        <f t="shared" si="5"/>
        <v>menor que 50</v>
      </c>
    </row>
    <row r="8" ht="15.75" customHeight="1">
      <c r="A8" s="5" t="s">
        <v>32</v>
      </c>
      <c r="B8" s="6">
        <v>45317.0</v>
      </c>
      <c r="C8" s="7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5" t="s">
        <v>33</v>
      </c>
      <c r="L8" s="9">
        <f t="shared" si="1"/>
        <v>0.0173</v>
      </c>
      <c r="M8" s="10">
        <f t="shared" si="2"/>
        <v>39.28044825</v>
      </c>
      <c r="N8" s="11">
        <f>VLOOKUP(A8,Total_de_acoes!A:B,2,0)</f>
        <v>4566445852</v>
      </c>
      <c r="O8" s="12">
        <f t="shared" si="3"/>
        <v>3103136291</v>
      </c>
      <c r="P8" s="13" t="str">
        <f t="shared" si="4"/>
        <v>subiu</v>
      </c>
      <c r="Q8" s="9" t="str">
        <f>VLOOKUP(A8,Ticker!A:B,2,0)</f>
        <v>Petrobras</v>
      </c>
      <c r="R8" s="9" t="str">
        <f>VLOOKUP(Q8,Chatgpt!A:C,2,0)</f>
        <v>Petróleo e Gás</v>
      </c>
      <c r="S8" s="9">
        <f>VLOOKUP(Q8,Chatgpt!A:C,3,0)</f>
        <v>69</v>
      </c>
      <c r="T8" s="9" t="str">
        <f t="shared" si="5"/>
        <v>entre 50 e 100</v>
      </c>
    </row>
    <row r="9" ht="15.75" customHeight="1">
      <c r="A9" s="14" t="s">
        <v>34</v>
      </c>
      <c r="B9" s="15">
        <v>45317.0</v>
      </c>
      <c r="C9" s="16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4" t="s">
        <v>35</v>
      </c>
      <c r="L9" s="9">
        <f t="shared" si="1"/>
        <v>0.0166</v>
      </c>
      <c r="M9" s="10">
        <f t="shared" si="2"/>
        <v>68.3651387</v>
      </c>
      <c r="N9" s="11">
        <f>VLOOKUP(A9,Total_de_acoes!A:B,2,0)</f>
        <v>4196924316</v>
      </c>
      <c r="O9" s="12">
        <f t="shared" si="3"/>
        <v>4762926995</v>
      </c>
      <c r="P9" s="13" t="str">
        <f t="shared" si="4"/>
        <v>subiu</v>
      </c>
      <c r="Q9" s="9" t="str">
        <f>VLOOKUP(A9,Ticker!A:B,2,0)</f>
        <v>Vale</v>
      </c>
      <c r="R9" s="9" t="str">
        <f>VLOOKUP(Q9,Chatgpt!A:C,2,0)</f>
        <v>Mineração</v>
      </c>
      <c r="S9" s="9">
        <f>VLOOKUP(Q9,Chatgpt!A:C,3,0)</f>
        <v>79</v>
      </c>
      <c r="T9" s="9" t="str">
        <f t="shared" si="5"/>
        <v>entre 50 e 100</v>
      </c>
    </row>
    <row r="10" ht="15.75" customHeight="1">
      <c r="A10" s="5" t="s">
        <v>36</v>
      </c>
      <c r="B10" s="6">
        <v>45317.0</v>
      </c>
      <c r="C10" s="7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5" t="s">
        <v>37</v>
      </c>
      <c r="L10" s="9">
        <f t="shared" si="1"/>
        <v>0.0158</v>
      </c>
      <c r="M10" s="10">
        <f t="shared" si="2"/>
        <v>27.75152589</v>
      </c>
      <c r="N10" s="11">
        <f>VLOOKUP(A10,Total_de_acoes!A:B,2,0)</f>
        <v>268505432</v>
      </c>
      <c r="O10" s="12">
        <f t="shared" si="3"/>
        <v>117732680.1</v>
      </c>
      <c r="P10" s="13" t="str">
        <f t="shared" si="4"/>
        <v>subiu</v>
      </c>
      <c r="Q10" s="9" t="str">
        <f>VLOOKUP(A10,Ticker!A:B,2,0)</f>
        <v>Multiplan</v>
      </c>
      <c r="R10" s="9" t="str">
        <f>VLOOKUP(Q10,Chatgpt!A:C,2,0)</f>
        <v>Shopping Centers</v>
      </c>
      <c r="S10" s="9">
        <f>VLOOKUP(Q10,Chatgpt!A:C,3,0)</f>
        <v>48</v>
      </c>
      <c r="T10" s="9" t="str">
        <f t="shared" si="5"/>
        <v>menor que 50</v>
      </c>
    </row>
    <row r="11" ht="15.75" customHeight="1">
      <c r="A11" s="14" t="s">
        <v>38</v>
      </c>
      <c r="B11" s="15">
        <v>45317.0</v>
      </c>
      <c r="C11" s="16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4" t="s">
        <v>39</v>
      </c>
      <c r="L11" s="9">
        <f t="shared" si="1"/>
        <v>0.0148</v>
      </c>
      <c r="M11" s="10">
        <f t="shared" si="2"/>
        <v>32.33149389</v>
      </c>
      <c r="N11" s="11">
        <f>VLOOKUP(A11,Total_de_acoes!A:B,2,0)</f>
        <v>4801593832</v>
      </c>
      <c r="O11" s="12">
        <f t="shared" si="3"/>
        <v>2297591984</v>
      </c>
      <c r="P11" s="13" t="str">
        <f t="shared" si="4"/>
        <v>subiu</v>
      </c>
      <c r="Q11" s="9" t="str">
        <f>VLOOKUP(A11,Ticker!A:B,2,0)</f>
        <v>Itaú Unibanco</v>
      </c>
      <c r="R11" s="9" t="str">
        <f>VLOOKUP(Q11,Chatgpt!A:C,2,0)</f>
        <v>Bancos</v>
      </c>
      <c r="S11" s="9">
        <f>VLOOKUP(Q11,Chatgpt!A:C,3,0)</f>
        <v>13</v>
      </c>
      <c r="T11" s="9" t="str">
        <f t="shared" si="5"/>
        <v>menor que 50</v>
      </c>
    </row>
    <row r="12" ht="15.75" customHeight="1">
      <c r="A12" s="5" t="s">
        <v>40</v>
      </c>
      <c r="B12" s="6">
        <v>45317.0</v>
      </c>
      <c r="C12" s="7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5" t="s">
        <v>41</v>
      </c>
      <c r="L12" s="9">
        <f t="shared" si="1"/>
        <v>0.0143</v>
      </c>
      <c r="M12" s="10">
        <f t="shared" si="2"/>
        <v>27.17144829</v>
      </c>
      <c r="N12" s="11">
        <f>VLOOKUP(A12,Total_de_acoes!A:B,2,0)</f>
        <v>1168230366</v>
      </c>
      <c r="O12" s="12">
        <f t="shared" si="3"/>
        <v>453917907</v>
      </c>
      <c r="P12" s="13" t="str">
        <f t="shared" si="4"/>
        <v>subiu</v>
      </c>
      <c r="Q12" s="9" t="str">
        <f>VLOOKUP(A12,Ticker!A:B,2,0)</f>
        <v>Rede D'Or</v>
      </c>
      <c r="R12" s="9" t="str">
        <f>VLOOKUP(Q12,Chatgpt!A:C,2,0)</f>
        <v>Saúde</v>
      </c>
      <c r="S12" s="9">
        <f>VLOOKUP(Q12,Chatgpt!A:C,3,0)</f>
        <v>46</v>
      </c>
      <c r="T12" s="9" t="str">
        <f t="shared" si="5"/>
        <v>menor que 50</v>
      </c>
    </row>
    <row r="13" ht="15.75" customHeight="1">
      <c r="A13" s="14" t="s">
        <v>42</v>
      </c>
      <c r="B13" s="15">
        <v>45317.0</v>
      </c>
      <c r="C13" s="16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4" t="s">
        <v>43</v>
      </c>
      <c r="L13" s="9">
        <f t="shared" si="1"/>
        <v>0.0142</v>
      </c>
      <c r="M13" s="10">
        <f t="shared" si="2"/>
        <v>18.29027805</v>
      </c>
      <c r="N13" s="11">
        <f>VLOOKUP(A13,Total_de_acoes!A:B,2,0)</f>
        <v>265877867</v>
      </c>
      <c r="O13" s="12">
        <f t="shared" si="3"/>
        <v>69054317.64</v>
      </c>
      <c r="P13" s="13" t="str">
        <f t="shared" si="4"/>
        <v>subiu</v>
      </c>
      <c r="Q13" s="9" t="str">
        <f>VLOOKUP(A13,Ticker!A:B,2,0)</f>
        <v>Braskem</v>
      </c>
      <c r="R13" s="9" t="str">
        <f>VLOOKUP(Q13,Chatgpt!A:C,2,0)</f>
        <v>Petroquímica</v>
      </c>
      <c r="S13" s="9">
        <f>VLOOKUP(Q13,Chatgpt!A:C,3,0)</f>
        <v>20</v>
      </c>
      <c r="T13" s="9" t="str">
        <f t="shared" si="5"/>
        <v>menor que 50</v>
      </c>
    </row>
    <row r="14" ht="15.75" customHeight="1">
      <c r="A14" s="5" t="s">
        <v>44</v>
      </c>
      <c r="B14" s="6">
        <v>45317.0</v>
      </c>
      <c r="C14" s="7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5" t="s">
        <v>45</v>
      </c>
      <c r="L14" s="9">
        <f t="shared" si="1"/>
        <v>0.0142</v>
      </c>
      <c r="M14" s="10">
        <f t="shared" si="2"/>
        <v>14.07020312</v>
      </c>
      <c r="N14" s="11">
        <f>VLOOKUP(A14,Total_de_acoes!A:B,2,0)</f>
        <v>327593725</v>
      </c>
      <c r="O14" s="12">
        <f t="shared" si="3"/>
        <v>65452205.55</v>
      </c>
      <c r="P14" s="13" t="str">
        <f t="shared" si="4"/>
        <v>subiu</v>
      </c>
      <c r="Q14" s="9" t="str">
        <f>VLOOKUP(A14,Ticker!A:B,2,0)</f>
        <v>Azul</v>
      </c>
      <c r="R14" s="9" t="str">
        <f>VLOOKUP(Q14,Chatgpt!A:C,2,0)</f>
        <v>Transporte Aéreo</v>
      </c>
      <c r="S14" s="9">
        <f>VLOOKUP(Q14,Chatgpt!A:C,3,0)</f>
        <v>15</v>
      </c>
      <c r="T14" s="9" t="str">
        <f t="shared" si="5"/>
        <v>menor que 50</v>
      </c>
    </row>
    <row r="15" ht="15.75" customHeight="1">
      <c r="A15" s="14" t="s">
        <v>46</v>
      </c>
      <c r="B15" s="15">
        <v>45317.0</v>
      </c>
      <c r="C15" s="16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4" t="s">
        <v>47</v>
      </c>
      <c r="L15" s="9">
        <f t="shared" si="1"/>
        <v>0.0141</v>
      </c>
      <c r="M15" s="10">
        <f t="shared" si="2"/>
        <v>28.35026132</v>
      </c>
      <c r="N15" s="11">
        <f>VLOOKUP(A15,Total_de_acoes!A:B,2,0)</f>
        <v>235665566</v>
      </c>
      <c r="O15" s="12">
        <f t="shared" si="3"/>
        <v>94204643.35</v>
      </c>
      <c r="P15" s="13" t="str">
        <f t="shared" si="4"/>
        <v>subiu</v>
      </c>
      <c r="Q15" s="9" t="str">
        <f>VLOOKUP(A15,Ticker!A:B,2,0)</f>
        <v>3R Petroleum</v>
      </c>
      <c r="R15" s="9" t="str">
        <f>VLOOKUP(Q15,Chatgpt!A:C,2,0)</f>
        <v>Petróleo e Gás</v>
      </c>
      <c r="S15" s="9">
        <f>VLOOKUP(Q15,Chatgpt!A:C,3,0)</f>
        <v>8</v>
      </c>
      <c r="T15" s="9" t="str">
        <f t="shared" si="5"/>
        <v>menor que 50</v>
      </c>
    </row>
    <row r="16" ht="15.75" customHeight="1">
      <c r="A16" s="5" t="s">
        <v>48</v>
      </c>
      <c r="B16" s="6">
        <v>45317.0</v>
      </c>
      <c r="C16" s="7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5" t="s">
        <v>49</v>
      </c>
      <c r="L16" s="9">
        <f t="shared" si="1"/>
        <v>0.0134</v>
      </c>
      <c r="M16" s="10">
        <f t="shared" si="2"/>
        <v>34.8529702</v>
      </c>
      <c r="N16" s="11">
        <f>VLOOKUP(A16,Total_de_acoes!A:B,2,0)</f>
        <v>1095587251</v>
      </c>
      <c r="O16" s="12">
        <f t="shared" si="3"/>
        <v>511671895.5</v>
      </c>
      <c r="P16" s="13" t="str">
        <f t="shared" si="4"/>
        <v>subiu</v>
      </c>
      <c r="Q16" s="9" t="str">
        <f>VLOOKUP(A16,Ticker!A:B,2,0)</f>
        <v>Equatorial Energia</v>
      </c>
      <c r="R16" s="9" t="str">
        <f>VLOOKUP(Q16,Chatgpt!A:C,2,0)</f>
        <v>Energia Elétrica</v>
      </c>
      <c r="S16" s="9">
        <f>VLOOKUP(Q16,Chatgpt!A:C,3,0)</f>
        <v>23</v>
      </c>
      <c r="T16" s="9" t="str">
        <f t="shared" si="5"/>
        <v>menor que 50</v>
      </c>
    </row>
    <row r="17" ht="15.75" customHeight="1">
      <c r="A17" s="14" t="s">
        <v>50</v>
      </c>
      <c r="B17" s="15">
        <v>45317.0</v>
      </c>
      <c r="C17" s="16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4" t="s">
        <v>51</v>
      </c>
      <c r="L17" s="9">
        <f t="shared" si="1"/>
        <v>0.0133</v>
      </c>
      <c r="M17" s="10">
        <f t="shared" si="2"/>
        <v>17.92164216</v>
      </c>
      <c r="N17" s="11">
        <f>VLOOKUP(A17,Total_de_acoes!A:B,2,0)</f>
        <v>600865451</v>
      </c>
      <c r="O17" s="12">
        <f t="shared" si="3"/>
        <v>143220991.5</v>
      </c>
      <c r="P17" s="13" t="str">
        <f t="shared" si="4"/>
        <v>subiu</v>
      </c>
      <c r="Q17" s="9" t="str">
        <f>VLOOKUP(A17,Ticker!A:B,2,0)</f>
        <v>Siderúrgica Nacional</v>
      </c>
      <c r="R17" s="9" t="str">
        <f>VLOOKUP(Q17,Chatgpt!A:C,2,0)</f>
        <v>Siderurgia</v>
      </c>
      <c r="S17" s="9">
        <f>VLOOKUP(Q17,Chatgpt!A:C,3,0)</f>
        <v>80</v>
      </c>
      <c r="T17" s="9" t="str">
        <f t="shared" si="5"/>
        <v>entre 50 e 100</v>
      </c>
    </row>
    <row r="18" ht="15.75" customHeight="1">
      <c r="A18" s="5" t="s">
        <v>52</v>
      </c>
      <c r="B18" s="6">
        <v>45317.0</v>
      </c>
      <c r="C18" s="7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5" t="s">
        <v>53</v>
      </c>
      <c r="L18" s="9">
        <f t="shared" si="1"/>
        <v>0.0128</v>
      </c>
      <c r="M18" s="10">
        <f t="shared" si="2"/>
        <v>19.52014218</v>
      </c>
      <c r="N18" s="11">
        <f>VLOOKUP(A18,Total_de_acoes!A:B,2,0)</f>
        <v>289347914</v>
      </c>
      <c r="O18" s="12">
        <f t="shared" si="3"/>
        <v>72295838.99</v>
      </c>
      <c r="P18" s="13" t="str">
        <f t="shared" si="4"/>
        <v>subiu</v>
      </c>
      <c r="Q18" s="9" t="str">
        <f>VLOOKUP(A18,Ticker!A:B,2,0)</f>
        <v>YDUQS</v>
      </c>
      <c r="R18" s="9" t="str">
        <f>VLOOKUP(Q18,Chatgpt!A:C,2,0)</f>
        <v>Educação</v>
      </c>
      <c r="S18" s="9">
        <f>VLOOKUP(Q18,Chatgpt!A:C,3,0)</f>
        <v>55</v>
      </c>
      <c r="T18" s="9" t="str">
        <f t="shared" si="5"/>
        <v>entre 50 e 100</v>
      </c>
    </row>
    <row r="19" ht="15.75" customHeight="1">
      <c r="A19" s="14" t="s">
        <v>54</v>
      </c>
      <c r="B19" s="15">
        <v>45317.0</v>
      </c>
      <c r="C19" s="16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4" t="s">
        <v>55</v>
      </c>
      <c r="L19" s="9">
        <f t="shared" si="1"/>
        <v>0.0128</v>
      </c>
      <c r="M19" s="10">
        <f t="shared" si="2"/>
        <v>27.95221169</v>
      </c>
      <c r="N19" s="11">
        <f>VLOOKUP(A19,Total_de_acoes!A:B,2,0)</f>
        <v>1086411192</v>
      </c>
      <c r="O19" s="12">
        <f t="shared" si="3"/>
        <v>388705224</v>
      </c>
      <c r="P19" s="13" t="str">
        <f t="shared" si="4"/>
        <v>subiu</v>
      </c>
      <c r="Q19" s="9" t="str">
        <f>VLOOKUP(A19,Ticker!A:B,2,0)</f>
        <v>Ultrapar</v>
      </c>
      <c r="R19" s="9" t="str">
        <f>VLOOKUP(Q19,Chatgpt!A:C,2,0)</f>
        <v>Distribuição</v>
      </c>
      <c r="S19" s="9">
        <f>VLOOKUP(Q19,Chatgpt!A:C,3,0)</f>
        <v>84</v>
      </c>
      <c r="T19" s="9" t="str">
        <f t="shared" si="5"/>
        <v>entre 50 e 100</v>
      </c>
    </row>
    <row r="20" ht="15.75" customHeight="1">
      <c r="A20" s="5" t="s">
        <v>56</v>
      </c>
      <c r="B20" s="6">
        <v>45317.0</v>
      </c>
      <c r="C20" s="7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5" t="s">
        <v>57</v>
      </c>
      <c r="L20" s="9">
        <f t="shared" si="1"/>
        <v>0.0125</v>
      </c>
      <c r="M20" s="10">
        <f t="shared" si="2"/>
        <v>7.980246914</v>
      </c>
      <c r="N20" s="11">
        <f>VLOOKUP(A20,Total_de_acoes!A:B,2,0)</f>
        <v>376187582</v>
      </c>
      <c r="O20" s="12">
        <f t="shared" si="3"/>
        <v>37525872.38</v>
      </c>
      <c r="P20" s="13" t="str">
        <f t="shared" si="4"/>
        <v>subiu</v>
      </c>
      <c r="Q20" s="9" t="str">
        <f>VLOOKUP(A20,Ticker!A:B,2,0)</f>
        <v>MRV</v>
      </c>
      <c r="R20" s="9" t="str">
        <f>VLOOKUP(Q20,Chatgpt!A:C,2,0)</f>
        <v>Construção Civil</v>
      </c>
      <c r="S20" s="9">
        <f>VLOOKUP(Q20,Chatgpt!A:C,3,0)</f>
        <v>42</v>
      </c>
      <c r="T20" s="9" t="str">
        <f t="shared" si="5"/>
        <v>menor que 50</v>
      </c>
    </row>
    <row r="21" ht="15.75" customHeight="1">
      <c r="A21" s="14" t="s">
        <v>58</v>
      </c>
      <c r="B21" s="15">
        <v>45317.0</v>
      </c>
      <c r="C21" s="16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4" t="s">
        <v>59</v>
      </c>
      <c r="L21" s="9">
        <f t="shared" si="1"/>
        <v>0.0115</v>
      </c>
      <c r="M21" s="10">
        <f t="shared" si="2"/>
        <v>57.25160652</v>
      </c>
      <c r="N21" s="11">
        <f>VLOOKUP(A21,Total_de_acoes!A:B,2,0)</f>
        <v>62305891</v>
      </c>
      <c r="O21" s="12">
        <f t="shared" si="3"/>
        <v>41021792.09</v>
      </c>
      <c r="P21" s="13" t="str">
        <f t="shared" si="4"/>
        <v>subiu</v>
      </c>
      <c r="Q21" s="9" t="str">
        <f>VLOOKUP(A21,Ticker!A:B,2,0)</f>
        <v>Arezzo</v>
      </c>
      <c r="R21" s="9" t="str">
        <f>VLOOKUP(Q21,Chatgpt!A:C,2,0)</f>
        <v>Vestuário</v>
      </c>
      <c r="S21" s="9">
        <f>VLOOKUP(Q21,Chatgpt!A:C,3,0)</f>
        <v>50</v>
      </c>
      <c r="T21" s="9" t="str">
        <f t="shared" si="5"/>
        <v>entre 50 e 100</v>
      </c>
    </row>
    <row r="22" ht="15.75" customHeight="1">
      <c r="A22" s="5" t="s">
        <v>60</v>
      </c>
      <c r="B22" s="6">
        <v>45317.0</v>
      </c>
      <c r="C22" s="7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5" t="s">
        <v>61</v>
      </c>
      <c r="L22" s="9">
        <f t="shared" si="1"/>
        <v>0.0104</v>
      </c>
      <c r="M22" s="10">
        <f t="shared" si="2"/>
        <v>15.36025337</v>
      </c>
      <c r="N22" s="11">
        <f>VLOOKUP(A22,Total_de_acoes!A:B,2,0)</f>
        <v>5146576868</v>
      </c>
      <c r="O22" s="12">
        <f t="shared" si="3"/>
        <v>822148336.4</v>
      </c>
      <c r="P22" s="13" t="str">
        <f t="shared" si="4"/>
        <v>subiu</v>
      </c>
      <c r="Q22" s="9" t="str">
        <f>VLOOKUP(A22,Ticker!A:B,2,0)</f>
        <v>Banco Bradesco</v>
      </c>
      <c r="R22" s="9" t="str">
        <f>VLOOKUP(Q22,Chatgpt!A:C,2,0)</f>
        <v>Bancos</v>
      </c>
      <c r="S22" s="9">
        <f>VLOOKUP(Q22,Chatgpt!A:C,3,0)</f>
        <v>78</v>
      </c>
      <c r="T22" s="9" t="str">
        <f t="shared" si="5"/>
        <v>entre 50 e 100</v>
      </c>
    </row>
    <row r="23" ht="15.75" customHeight="1">
      <c r="A23" s="14" t="s">
        <v>62</v>
      </c>
      <c r="B23" s="15">
        <v>45317.0</v>
      </c>
      <c r="C23" s="16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4" t="s">
        <v>63</v>
      </c>
      <c r="L23" s="9">
        <f t="shared" si="1"/>
        <v>0.0098</v>
      </c>
      <c r="M23" s="10">
        <f t="shared" si="2"/>
        <v>7.120221826</v>
      </c>
      <c r="N23" s="11">
        <f>VLOOKUP(A23,Total_de_acoes!A:B,2,0)</f>
        <v>261036182</v>
      </c>
      <c r="O23" s="12">
        <f t="shared" si="3"/>
        <v>18214628.1</v>
      </c>
      <c r="P23" s="13" t="str">
        <f t="shared" si="4"/>
        <v>subiu</v>
      </c>
      <c r="Q23" s="9" t="str">
        <f>VLOOKUP(A23,Ticker!A:B,2,0)</f>
        <v>Minerva</v>
      </c>
      <c r="R23" s="9" t="str">
        <f>VLOOKUP(Q23,Chatgpt!A:C,2,0)</f>
        <v>Alimentos</v>
      </c>
      <c r="S23" s="9">
        <f>VLOOKUP(Q23,Chatgpt!A:C,3,0)</f>
        <v>96</v>
      </c>
      <c r="T23" s="9" t="str">
        <f t="shared" si="5"/>
        <v>entre 50 e 100</v>
      </c>
    </row>
    <row r="24" ht="15.75" customHeight="1">
      <c r="A24" s="5" t="s">
        <v>64</v>
      </c>
      <c r="B24" s="6">
        <v>45317.0</v>
      </c>
      <c r="C24" s="7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5" t="s">
        <v>65</v>
      </c>
      <c r="L24" s="9">
        <f t="shared" si="1"/>
        <v>0.0097</v>
      </c>
      <c r="M24" s="10">
        <f t="shared" si="2"/>
        <v>4.10022779</v>
      </c>
      <c r="N24" s="11">
        <f>VLOOKUP(A24,Total_de_acoes!A:B,2,0)</f>
        <v>159430826</v>
      </c>
      <c r="O24" s="12">
        <f t="shared" si="3"/>
        <v>6340916.223</v>
      </c>
      <c r="P24" s="13" t="str">
        <f t="shared" si="4"/>
        <v>subiu</v>
      </c>
      <c r="Q24" s="9" t="str">
        <f>VLOOKUP(A24,Ticker!A:B,2,0)</f>
        <v>Grupo Pão de Açúcar</v>
      </c>
      <c r="R24" s="9" t="str">
        <f>VLOOKUP(Q24,Chatgpt!A:C,2,0)</f>
        <v>Alimentos</v>
      </c>
      <c r="S24" s="9">
        <f>VLOOKUP(Q24,Chatgpt!A:C,3,0)</f>
        <v>72</v>
      </c>
      <c r="T24" s="9" t="str">
        <f t="shared" si="5"/>
        <v>entre 50 e 100</v>
      </c>
    </row>
    <row r="25" ht="15.75" customHeight="1">
      <c r="A25" s="14" t="s">
        <v>66</v>
      </c>
      <c r="B25" s="15">
        <v>45317.0</v>
      </c>
      <c r="C25" s="16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4" t="s">
        <v>67</v>
      </c>
      <c r="L25" s="9">
        <f t="shared" si="1"/>
        <v>0.0096</v>
      </c>
      <c r="M25" s="10">
        <f t="shared" si="2"/>
        <v>14.47107765</v>
      </c>
      <c r="N25" s="11">
        <f>VLOOKUP(A25,Total_de_acoes!A:B,2,0)</f>
        <v>1677525446</v>
      </c>
      <c r="O25" s="12">
        <f t="shared" si="3"/>
        <v>233045769.6</v>
      </c>
      <c r="P25" s="13" t="str">
        <f t="shared" si="4"/>
        <v>subiu</v>
      </c>
      <c r="Q25" s="9" t="str">
        <f>VLOOKUP(A25,Ticker!A:B,2,0)</f>
        <v>BRF</v>
      </c>
      <c r="R25" s="9" t="str">
        <f>VLOOKUP(Q25,Chatgpt!A:C,2,0)</f>
        <v>Alimentos</v>
      </c>
      <c r="S25" s="9">
        <f>VLOOKUP(Q25,Chatgpt!A:C,3,0)</f>
        <v>13</v>
      </c>
      <c r="T25" s="9" t="str">
        <f t="shared" si="5"/>
        <v>menor que 50</v>
      </c>
    </row>
    <row r="26" ht="15.75" customHeight="1">
      <c r="A26" s="5" t="s">
        <v>68</v>
      </c>
      <c r="B26" s="6">
        <v>45317.0</v>
      </c>
      <c r="C26" s="7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5" t="s">
        <v>69</v>
      </c>
      <c r="L26" s="9">
        <f t="shared" si="1"/>
        <v>0.0088</v>
      </c>
      <c r="M26" s="10">
        <f t="shared" si="2"/>
        <v>50.75337034</v>
      </c>
      <c r="N26" s="11">
        <f>VLOOKUP(A26,Total_de_acoes!A:B,2,0)</f>
        <v>423091712</v>
      </c>
      <c r="O26" s="12">
        <f t="shared" si="3"/>
        <v>188965307.1</v>
      </c>
      <c r="P26" s="13" t="str">
        <f t="shared" si="4"/>
        <v>subiu</v>
      </c>
      <c r="Q26" s="9" t="str">
        <f>VLOOKUP(A26,Ticker!A:B,2,0)</f>
        <v>Vivo</v>
      </c>
      <c r="R26" s="9" t="str">
        <f>VLOOKUP(Q26,Chatgpt!A:C,2,0)</f>
        <v>Telecomunicações</v>
      </c>
      <c r="S26" s="9">
        <f>VLOOKUP(Q26,Chatgpt!A:C,3,0)</f>
        <v>22</v>
      </c>
      <c r="T26" s="9" t="str">
        <f t="shared" si="5"/>
        <v>menor que 50</v>
      </c>
    </row>
    <row r="27" ht="15.75" customHeight="1">
      <c r="A27" s="14" t="s">
        <v>70</v>
      </c>
      <c r="B27" s="15">
        <v>45317.0</v>
      </c>
      <c r="C27" s="16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4" t="s">
        <v>71</v>
      </c>
      <c r="L27" s="9">
        <f t="shared" si="1"/>
        <v>0.0084</v>
      </c>
      <c r="M27" s="10">
        <f t="shared" si="2"/>
        <v>22.45140817</v>
      </c>
      <c r="N27" s="11">
        <f>VLOOKUP(A27,Total_de_acoes!A:B,2,0)</f>
        <v>1218352541</v>
      </c>
      <c r="O27" s="12">
        <f t="shared" si="3"/>
        <v>229771333.6</v>
      </c>
      <c r="P27" s="13" t="str">
        <f t="shared" si="4"/>
        <v>subiu</v>
      </c>
      <c r="Q27" s="9" t="str">
        <f>VLOOKUP(A27,Ticker!A:B,2,0)</f>
        <v>Rumo</v>
      </c>
      <c r="R27" s="9" t="str">
        <f>VLOOKUP(Q27,Chatgpt!A:C,2,0)</f>
        <v>Logística</v>
      </c>
      <c r="S27" s="9">
        <f>VLOOKUP(Q27,Chatgpt!A:C,3,0)</f>
        <v>10</v>
      </c>
      <c r="T27" s="9" t="str">
        <f t="shared" si="5"/>
        <v>menor que 50</v>
      </c>
    </row>
    <row r="28" ht="15.75" customHeight="1">
      <c r="A28" s="5" t="s">
        <v>72</v>
      </c>
      <c r="B28" s="6">
        <v>45317.0</v>
      </c>
      <c r="C28" s="7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5" t="s">
        <v>73</v>
      </c>
      <c r="L28" s="9">
        <f t="shared" si="1"/>
        <v>0.0082</v>
      </c>
      <c r="M28" s="10">
        <f t="shared" si="2"/>
        <v>4.860146796</v>
      </c>
      <c r="N28" s="11">
        <f>VLOOKUP(A28,Total_de_acoes!A:B,2,0)</f>
        <v>1095462329</v>
      </c>
      <c r="O28" s="12">
        <f t="shared" si="3"/>
        <v>43657683.38</v>
      </c>
      <c r="P28" s="13" t="str">
        <f t="shared" si="4"/>
        <v>subiu</v>
      </c>
      <c r="Q28" s="9" t="str">
        <f>VLOOKUP(A28,Ticker!A:B,2,0)</f>
        <v>Cielo</v>
      </c>
      <c r="R28" s="9" t="str">
        <f>VLOOKUP(Q28,Chatgpt!A:C,2,0)</f>
        <v>Serviços Financeiros</v>
      </c>
      <c r="S28" s="9">
        <f>VLOOKUP(Q28,Chatgpt!A:C,3,0)</f>
        <v>11</v>
      </c>
      <c r="T28" s="9" t="str">
        <f t="shared" si="5"/>
        <v>menor que 50</v>
      </c>
    </row>
    <row r="29" ht="15.75" customHeight="1">
      <c r="A29" s="14" t="s">
        <v>74</v>
      </c>
      <c r="B29" s="15">
        <v>45317.0</v>
      </c>
      <c r="C29" s="16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4" t="s">
        <v>75</v>
      </c>
      <c r="L29" s="9">
        <f t="shared" si="1"/>
        <v>0.0077</v>
      </c>
      <c r="M29" s="10">
        <f t="shared" si="2"/>
        <v>7.750322517</v>
      </c>
      <c r="N29" s="11">
        <f>VLOOKUP(A29,Total_de_acoes!A:B,2,0)</f>
        <v>302768240</v>
      </c>
      <c r="O29" s="12">
        <f t="shared" si="3"/>
        <v>18068446.61</v>
      </c>
      <c r="P29" s="13" t="str">
        <f t="shared" si="4"/>
        <v>subiu</v>
      </c>
      <c r="Q29" s="9" t="str">
        <f>VLOOKUP(A29,Ticker!A:B,2,0)</f>
        <v>Dexco</v>
      </c>
      <c r="R29" s="9" t="str">
        <f>VLOOKUP(Q29,Chatgpt!A:C,2,0)</f>
        <v>Logística</v>
      </c>
      <c r="S29" s="9">
        <f>VLOOKUP(Q29,Chatgpt!A:C,3,0)</f>
        <v>5</v>
      </c>
      <c r="T29" s="9" t="str">
        <f t="shared" si="5"/>
        <v>menor que 50</v>
      </c>
    </row>
    <row r="30" ht="15.75" customHeight="1">
      <c r="A30" s="5" t="s">
        <v>76</v>
      </c>
      <c r="B30" s="6">
        <v>45317.0</v>
      </c>
      <c r="C30" s="7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5" t="s">
        <v>77</v>
      </c>
      <c r="L30" s="9">
        <f t="shared" si="1"/>
        <v>0.0074</v>
      </c>
      <c r="M30" s="10">
        <f t="shared" si="2"/>
        <v>17.39130435</v>
      </c>
      <c r="N30" s="11">
        <f>VLOOKUP(A30,Total_de_acoes!A:B,2,0)</f>
        <v>807896814</v>
      </c>
      <c r="O30" s="12">
        <f t="shared" si="3"/>
        <v>103972807.4</v>
      </c>
      <c r="P30" s="13" t="str">
        <f t="shared" si="4"/>
        <v>subiu</v>
      </c>
      <c r="Q30" s="9" t="str">
        <f>VLOOKUP(A30,Ticker!A:B,2,0)</f>
        <v>TIM</v>
      </c>
      <c r="R30" s="9" t="str">
        <f>VLOOKUP(Q30,Chatgpt!A:C,2,0)</f>
        <v>Telecomunicações</v>
      </c>
      <c r="S30" s="9">
        <f>VLOOKUP(Q30,Chatgpt!A:C,3,0)</f>
        <v>26</v>
      </c>
      <c r="T30" s="9" t="str">
        <f t="shared" si="5"/>
        <v>menor que 50</v>
      </c>
    </row>
    <row r="31" ht="15.75" customHeight="1">
      <c r="A31" s="14" t="s">
        <v>78</v>
      </c>
      <c r="B31" s="15">
        <v>45317.0</v>
      </c>
      <c r="C31" s="16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4" t="s">
        <v>79</v>
      </c>
      <c r="L31" s="9">
        <f t="shared" si="1"/>
        <v>0.0073</v>
      </c>
      <c r="M31" s="10">
        <f t="shared" si="2"/>
        <v>23.05172243</v>
      </c>
      <c r="N31" s="11">
        <f>VLOOKUP(A31,Total_de_acoes!A:B,2,0)</f>
        <v>251003438</v>
      </c>
      <c r="O31" s="12">
        <f t="shared" si="3"/>
        <v>42238249.54</v>
      </c>
      <c r="P31" s="13" t="str">
        <f t="shared" si="4"/>
        <v>subiu</v>
      </c>
      <c r="Q31" s="9" t="str">
        <f>VLOOKUP(A31,Ticker!A:B,2,0)</f>
        <v>Bradespar</v>
      </c>
      <c r="R31" s="9" t="str">
        <f>VLOOKUP(Q31,Chatgpt!A:C,2,0)</f>
        <v>Holding Diversificada</v>
      </c>
      <c r="S31" s="9">
        <f>VLOOKUP(Q31,Chatgpt!A:C,3,0)</f>
        <v>21</v>
      </c>
      <c r="T31" s="9" t="str">
        <f t="shared" si="5"/>
        <v>menor que 50</v>
      </c>
    </row>
    <row r="32" ht="15.75" customHeight="1">
      <c r="A32" s="5" t="s">
        <v>80</v>
      </c>
      <c r="B32" s="6">
        <v>45317.0</v>
      </c>
      <c r="C32" s="7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5" t="s">
        <v>81</v>
      </c>
      <c r="L32" s="9">
        <f t="shared" si="1"/>
        <v>0.0072</v>
      </c>
      <c r="M32" s="10">
        <f t="shared" si="2"/>
        <v>5.510325655</v>
      </c>
      <c r="N32" s="11">
        <f>VLOOKUP(A32,Total_de_acoes!A:B,2,0)</f>
        <v>393173139</v>
      </c>
      <c r="O32" s="12">
        <f t="shared" si="3"/>
        <v>15598886.65</v>
      </c>
      <c r="P32" s="13" t="str">
        <f t="shared" si="4"/>
        <v>subiu</v>
      </c>
      <c r="Q32" s="9" t="str">
        <f>VLOOKUP(A32,Ticker!A:B,2,0)</f>
        <v>Locaweb</v>
      </c>
      <c r="R32" s="9" t="str">
        <f>VLOOKUP(Q32,Chatgpt!A:C,2,0)</f>
        <v>Tecnologia</v>
      </c>
      <c r="S32" s="9">
        <f>VLOOKUP(Q32,Chatgpt!A:C,3,0)</f>
        <v>24</v>
      </c>
      <c r="T32" s="9" t="str">
        <f t="shared" si="5"/>
        <v>menor que 50</v>
      </c>
    </row>
    <row r="33" ht="15.75" customHeight="1">
      <c r="A33" s="14" t="s">
        <v>82</v>
      </c>
      <c r="B33" s="15">
        <v>45317.0</v>
      </c>
      <c r="C33" s="16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4" t="s">
        <v>83</v>
      </c>
      <c r="L33" s="9">
        <f t="shared" si="1"/>
        <v>0.0071</v>
      </c>
      <c r="M33" s="10">
        <f t="shared" si="2"/>
        <v>23.6619998</v>
      </c>
      <c r="N33" s="11">
        <f>VLOOKUP(A33,Total_de_acoes!A:B,2,0)</f>
        <v>275005663</v>
      </c>
      <c r="O33" s="12">
        <f t="shared" si="3"/>
        <v>46201006</v>
      </c>
      <c r="P33" s="13" t="str">
        <f t="shared" si="4"/>
        <v>subiu</v>
      </c>
      <c r="Q33" s="9" t="str">
        <f>VLOOKUP(A33,Ticker!A:B,2,0)</f>
        <v>PetroRecôncavo</v>
      </c>
      <c r="R33" s="9" t="str">
        <f>VLOOKUP(Q33,Chatgpt!A:C,2,0)</f>
        <v>Petróleo e Gás</v>
      </c>
      <c r="S33" s="9">
        <f>VLOOKUP(Q33,Chatgpt!A:C,3,0)</f>
        <v>6</v>
      </c>
      <c r="T33" s="9" t="str">
        <f t="shared" si="5"/>
        <v>menor que 50</v>
      </c>
    </row>
    <row r="34" ht="15.75" customHeight="1">
      <c r="A34" s="5" t="s">
        <v>84</v>
      </c>
      <c r="B34" s="6">
        <v>45317.0</v>
      </c>
      <c r="C34" s="7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5" t="s">
        <v>85</v>
      </c>
      <c r="L34" s="9">
        <f t="shared" si="1"/>
        <v>0.007</v>
      </c>
      <c r="M34" s="10">
        <f t="shared" si="2"/>
        <v>9.94041708</v>
      </c>
      <c r="N34" s="11">
        <f>VLOOKUP(A34,Total_de_acoes!A:B,2,0)</f>
        <v>5372783971</v>
      </c>
      <c r="O34" s="12">
        <f t="shared" si="3"/>
        <v>373853994.9</v>
      </c>
      <c r="P34" s="13" t="str">
        <f t="shared" si="4"/>
        <v>subiu</v>
      </c>
      <c r="Q34" s="9" t="str">
        <f>VLOOKUP(A34,Ticker!A:B,2,0)</f>
        <v>Itaúsa</v>
      </c>
      <c r="R34" s="9" t="str">
        <f>VLOOKUP(Q34,Chatgpt!A:C,2,0)</f>
        <v>Holding Diversificada</v>
      </c>
      <c r="S34" s="9">
        <f>VLOOKUP(Q34,Chatgpt!A:C,3,0)</f>
        <v>55</v>
      </c>
      <c r="T34" s="9" t="str">
        <f t="shared" si="5"/>
        <v>entre 50 e 100</v>
      </c>
    </row>
    <row r="35" ht="15.75" customHeight="1">
      <c r="A35" s="14" t="s">
        <v>86</v>
      </c>
      <c r="B35" s="15">
        <v>45317.0</v>
      </c>
      <c r="C35" s="16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4" t="s">
        <v>87</v>
      </c>
      <c r="L35" s="9">
        <f t="shared" si="1"/>
        <v>0.0068</v>
      </c>
      <c r="M35" s="10">
        <f t="shared" si="2"/>
        <v>56.5852205</v>
      </c>
      <c r="N35" s="11">
        <f>VLOOKUP(A35,Total_de_acoes!A:B,2,0)</f>
        <v>1420949112</v>
      </c>
      <c r="O35" s="12">
        <f t="shared" si="3"/>
        <v>546752088</v>
      </c>
      <c r="P35" s="13" t="str">
        <f t="shared" si="4"/>
        <v>subiu</v>
      </c>
      <c r="Q35" s="9" t="str">
        <f>VLOOKUP(A35,Ticker!A:B,2,0)</f>
        <v>Banco do Brasil</v>
      </c>
      <c r="R35" s="9" t="str">
        <f>VLOOKUP(Q35,Chatgpt!A:C,2,0)</f>
        <v>Bancos</v>
      </c>
      <c r="S35" s="9">
        <f>VLOOKUP(Q35,Chatgpt!A:C,3,0)</f>
        <v>213</v>
      </c>
      <c r="T35" s="9" t="str">
        <f t="shared" si="5"/>
        <v>maior que 100</v>
      </c>
    </row>
    <row r="36" ht="15.75" customHeight="1">
      <c r="A36" s="5" t="s">
        <v>88</v>
      </c>
      <c r="B36" s="6">
        <v>45317.0</v>
      </c>
      <c r="C36" s="7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5" t="s">
        <v>89</v>
      </c>
      <c r="L36" s="9">
        <f t="shared" si="1"/>
        <v>0.0061</v>
      </c>
      <c r="M36" s="10">
        <f t="shared" si="2"/>
        <v>26.00139151</v>
      </c>
      <c r="N36" s="11">
        <f>VLOOKUP(A36,Total_de_acoes!A:B,2,0)</f>
        <v>1275798515</v>
      </c>
      <c r="O36" s="12">
        <f t="shared" si="3"/>
        <v>202352473.7</v>
      </c>
      <c r="P36" s="13" t="str">
        <f t="shared" si="4"/>
        <v>subiu</v>
      </c>
      <c r="Q36" s="9" t="str">
        <f>VLOOKUP(A36,Ticker!A:B,2,0)</f>
        <v>RaiaDrogasil</v>
      </c>
      <c r="R36" s="9" t="str">
        <f>VLOOKUP(Q36,Chatgpt!A:C,2,0)</f>
        <v>Saúde</v>
      </c>
      <c r="S36" s="9">
        <f>VLOOKUP(Q36,Chatgpt!A:C,3,0)</f>
        <v>118</v>
      </c>
      <c r="T36" s="9" t="str">
        <f t="shared" si="5"/>
        <v>maior que 100</v>
      </c>
    </row>
    <row r="37" ht="15.75" customHeight="1">
      <c r="A37" s="14" t="s">
        <v>90</v>
      </c>
      <c r="B37" s="15">
        <v>45317.0</v>
      </c>
      <c r="C37" s="16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4" t="s">
        <v>91</v>
      </c>
      <c r="L37" s="9">
        <f t="shared" si="1"/>
        <v>0.0059</v>
      </c>
      <c r="M37" s="10">
        <f t="shared" si="2"/>
        <v>10.02087683</v>
      </c>
      <c r="N37" s="11">
        <f>VLOOKUP(A37,Total_de_acoes!A:B,2,0)</f>
        <v>660411219</v>
      </c>
      <c r="O37" s="12">
        <f t="shared" si="3"/>
        <v>39045606.94</v>
      </c>
      <c r="P37" s="13" t="str">
        <f t="shared" si="4"/>
        <v>subiu</v>
      </c>
      <c r="Q37" s="9" t="str">
        <f>VLOOKUP(A37,Ticker!A:B,2,0)</f>
        <v>Metalúrgica Gerdau</v>
      </c>
      <c r="R37" s="9" t="str">
        <f>VLOOKUP(Q37,Chatgpt!A:C,2,0)</f>
        <v>Siderurgia</v>
      </c>
      <c r="S37" s="9">
        <f>VLOOKUP(Q37,Chatgpt!A:C,3,0)</f>
        <v>121</v>
      </c>
      <c r="T37" s="9" t="str">
        <f t="shared" si="5"/>
        <v>maior que 100</v>
      </c>
    </row>
    <row r="38" ht="15.75" customHeight="1">
      <c r="A38" s="5" t="s">
        <v>92</v>
      </c>
      <c r="B38" s="6">
        <v>45317.0</v>
      </c>
      <c r="C38" s="7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5" t="s">
        <v>93</v>
      </c>
      <c r="L38" s="9">
        <f t="shared" si="1"/>
        <v>0.0059</v>
      </c>
      <c r="M38" s="10">
        <f t="shared" si="2"/>
        <v>18.46107963</v>
      </c>
      <c r="N38" s="11">
        <f>VLOOKUP(A38,Total_de_acoes!A:B,2,0)</f>
        <v>1168097881</v>
      </c>
      <c r="O38" s="12">
        <f t="shared" si="3"/>
        <v>127229653.2</v>
      </c>
      <c r="P38" s="13" t="str">
        <f t="shared" si="4"/>
        <v>subiu</v>
      </c>
      <c r="Q38" s="9" t="str">
        <f>VLOOKUP(A38,Ticker!A:B,2,0)</f>
        <v>Cosan</v>
      </c>
      <c r="R38" s="9" t="str">
        <f>VLOOKUP(Q38,Chatgpt!A:C,2,0)</f>
        <v>Energia e Logística</v>
      </c>
      <c r="S38" s="9">
        <f>VLOOKUP(Q38,Chatgpt!A:C,3,0)</f>
        <v>25</v>
      </c>
      <c r="T38" s="9" t="str">
        <f t="shared" si="5"/>
        <v>menor que 50</v>
      </c>
    </row>
    <row r="39" ht="15.75" customHeight="1">
      <c r="A39" s="14" t="s">
        <v>94</v>
      </c>
      <c r="B39" s="15">
        <v>45317.0</v>
      </c>
      <c r="C39" s="16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4" t="s">
        <v>95</v>
      </c>
      <c r="L39" s="9">
        <f t="shared" si="1"/>
        <v>0.0057</v>
      </c>
      <c r="M39" s="10">
        <f t="shared" si="2"/>
        <v>24.20204832</v>
      </c>
      <c r="N39" s="11">
        <f>VLOOKUP(A39,Total_de_acoes!A:B,2,0)</f>
        <v>1134986472</v>
      </c>
      <c r="O39" s="12">
        <f t="shared" si="3"/>
        <v>156573285.4</v>
      </c>
      <c r="P39" s="13" t="str">
        <f t="shared" si="4"/>
        <v>subiu</v>
      </c>
      <c r="Q39" s="9" t="str">
        <f>VLOOKUP(A39,Ticker!A:B,2,0)</f>
        <v>JBS</v>
      </c>
      <c r="R39" s="9" t="str">
        <f>VLOOKUP(Q39,Chatgpt!A:C,2,0)</f>
        <v>Alimentos</v>
      </c>
      <c r="S39" s="9">
        <f>VLOOKUP(Q39,Chatgpt!A:C,3,0)</f>
        <v>68</v>
      </c>
      <c r="T39" s="9" t="str">
        <f t="shared" si="5"/>
        <v>entre 50 e 100</v>
      </c>
    </row>
    <row r="40" ht="15.75" customHeight="1">
      <c r="A40" s="5" t="s">
        <v>96</v>
      </c>
      <c r="B40" s="6">
        <v>45317.0</v>
      </c>
      <c r="C40" s="7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5" t="s">
        <v>97</v>
      </c>
      <c r="L40" s="9">
        <f t="shared" si="1"/>
        <v>0.0048</v>
      </c>
      <c r="M40" s="10">
        <f t="shared" si="2"/>
        <v>2.070063694</v>
      </c>
      <c r="N40" s="11">
        <f>VLOOKUP(A40,Total_de_acoes!A:B,2,0)</f>
        <v>2867627068</v>
      </c>
      <c r="O40" s="12">
        <f t="shared" si="3"/>
        <v>28493619.27</v>
      </c>
      <c r="P40" s="13" t="str">
        <f t="shared" si="4"/>
        <v>subiu</v>
      </c>
      <c r="Q40" s="9" t="str">
        <f>VLOOKUP(A40,Ticker!A:B,2,0)</f>
        <v>Magazine Luiza</v>
      </c>
      <c r="R40" s="9" t="str">
        <f>VLOOKUP(Q40,Chatgpt!A:C,2,0)</f>
        <v>Varejo</v>
      </c>
      <c r="S40" s="9">
        <f>VLOOKUP(Q40,Chatgpt!A:C,3,0)</f>
        <v>63</v>
      </c>
      <c r="T40" s="9" t="str">
        <f t="shared" si="5"/>
        <v>entre 50 e 100</v>
      </c>
    </row>
    <row r="41" ht="15.75" customHeight="1">
      <c r="A41" s="14" t="s">
        <v>98</v>
      </c>
      <c r="B41" s="15">
        <v>45317.0</v>
      </c>
      <c r="C41" s="16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4" t="s">
        <v>99</v>
      </c>
      <c r="L41" s="9">
        <f t="shared" si="1"/>
        <v>0.0036</v>
      </c>
      <c r="M41" s="10">
        <f t="shared" si="2"/>
        <v>13.70067756</v>
      </c>
      <c r="N41" s="11">
        <f>VLOOKUP(A41,Total_de_acoes!A:B,2,0)</f>
        <v>1500728902</v>
      </c>
      <c r="O41" s="12">
        <f t="shared" si="3"/>
        <v>74019610.05</v>
      </c>
      <c r="P41" s="13" t="str">
        <f t="shared" si="4"/>
        <v>subiu</v>
      </c>
      <c r="Q41" s="9" t="str">
        <f>VLOOKUP(A41,Ticker!A:B,2,0)</f>
        <v>Banco Bradesco</v>
      </c>
      <c r="R41" s="9" t="str">
        <f>VLOOKUP(Q41,Chatgpt!A:C,2,0)</f>
        <v>Bancos</v>
      </c>
      <c r="S41" s="9">
        <f>VLOOKUP(Q41,Chatgpt!A:C,3,0)</f>
        <v>78</v>
      </c>
      <c r="T41" s="9" t="str">
        <f t="shared" si="5"/>
        <v>entre 50 e 100</v>
      </c>
    </row>
    <row r="42" ht="15.75" customHeight="1">
      <c r="A42" s="5" t="s">
        <v>100</v>
      </c>
      <c r="B42" s="6">
        <v>45317.0</v>
      </c>
      <c r="C42" s="7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5" t="s">
        <v>101</v>
      </c>
      <c r="L42" s="9">
        <f t="shared" si="1"/>
        <v>0.0027</v>
      </c>
      <c r="M42" s="10">
        <f t="shared" si="2"/>
        <v>21.78119078</v>
      </c>
      <c r="N42" s="11">
        <f>VLOOKUP(A42,Total_de_acoes!A:B,2,0)</f>
        <v>1118525506</v>
      </c>
      <c r="O42" s="12">
        <f t="shared" si="3"/>
        <v>65779607.1</v>
      </c>
      <c r="P42" s="13" t="str">
        <f t="shared" si="4"/>
        <v>subiu</v>
      </c>
      <c r="Q42" s="9" t="str">
        <f>VLOOKUP(A42,Ticker!A:B,2,0)</f>
        <v>Gerdau</v>
      </c>
      <c r="R42" s="9" t="str">
        <f>VLOOKUP(Q42,Chatgpt!A:C,2,0)</f>
        <v>Siderurgia</v>
      </c>
      <c r="S42" s="9">
        <f>VLOOKUP(Q42,Chatgpt!A:C,3,0)</f>
        <v>120</v>
      </c>
      <c r="T42" s="9" t="str">
        <f t="shared" si="5"/>
        <v>maior que 100</v>
      </c>
    </row>
    <row r="43" ht="15.75" customHeight="1">
      <c r="A43" s="14" t="s">
        <v>102</v>
      </c>
      <c r="B43" s="15">
        <v>45317.0</v>
      </c>
      <c r="C43" s="16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4" t="s">
        <v>103</v>
      </c>
      <c r="L43" s="9">
        <f t="shared" si="1"/>
        <v>0.0026</v>
      </c>
      <c r="M43" s="10">
        <f t="shared" si="2"/>
        <v>3.730301217</v>
      </c>
      <c r="N43" s="11">
        <f>VLOOKUP(A43,Total_de_acoes!A:B,2,0)</f>
        <v>1193047233</v>
      </c>
      <c r="O43" s="12">
        <f t="shared" si="3"/>
        <v>11571106.42</v>
      </c>
      <c r="P43" s="13" t="str">
        <f t="shared" si="4"/>
        <v>subiu</v>
      </c>
      <c r="Q43" s="9" t="str">
        <f>VLOOKUP(A43,Ticker!A:B,2,0)</f>
        <v>Raízen</v>
      </c>
      <c r="R43" s="9" t="str">
        <f>VLOOKUP(Q43,Chatgpt!A:C,2,0)</f>
        <v>Energia e Biocombustível</v>
      </c>
      <c r="S43" s="9">
        <f>VLOOKUP(Q43,Chatgpt!A:C,3,0)</f>
        <v>10</v>
      </c>
      <c r="T43" s="9" t="str">
        <f t="shared" si="5"/>
        <v>menor que 50</v>
      </c>
    </row>
    <row r="44" ht="15.75" customHeight="1">
      <c r="A44" s="5" t="s">
        <v>104</v>
      </c>
      <c r="B44" s="6">
        <v>45317.0</v>
      </c>
      <c r="C44" s="7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5" t="s">
        <v>105</v>
      </c>
      <c r="L44" s="9">
        <f t="shared" si="1"/>
        <v>0.0019</v>
      </c>
      <c r="M44" s="10">
        <f t="shared" si="2"/>
        <v>10.05090328</v>
      </c>
      <c r="N44" s="11">
        <f>VLOOKUP(A44,Total_de_acoes!A:B,2,0)</f>
        <v>1679335290</v>
      </c>
      <c r="O44" s="12">
        <f t="shared" si="3"/>
        <v>32069789.5</v>
      </c>
      <c r="P44" s="13" t="str">
        <f t="shared" si="4"/>
        <v>subiu</v>
      </c>
      <c r="Q44" s="9" t="str">
        <f>VLOOKUP(A44,Ticker!A:B,2,0)</f>
        <v>Copel</v>
      </c>
      <c r="R44" s="9" t="str">
        <f>VLOOKUP(Q44,Chatgpt!A:C,2,0)</f>
        <v>Energia Elétrica</v>
      </c>
      <c r="S44" s="9">
        <f>VLOOKUP(Q44,Chatgpt!A:C,3,0)</f>
        <v>67</v>
      </c>
      <c r="T44" s="9" t="str">
        <f t="shared" si="5"/>
        <v>entre 50 e 100</v>
      </c>
    </row>
    <row r="45" ht="15.75" customHeight="1">
      <c r="A45" s="14" t="s">
        <v>106</v>
      </c>
      <c r="B45" s="15">
        <v>45317.0</v>
      </c>
      <c r="C45" s="16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4" t="s">
        <v>107</v>
      </c>
      <c r="L45" s="9">
        <f t="shared" si="1"/>
        <v>0.0012</v>
      </c>
      <c r="M45" s="10">
        <f t="shared" si="2"/>
        <v>8.170195765</v>
      </c>
      <c r="N45" s="11">
        <f>VLOOKUP(A45,Total_de_acoes!A:B,2,0)</f>
        <v>421383330</v>
      </c>
      <c r="O45" s="12">
        <f t="shared" si="3"/>
        <v>4131341.158</v>
      </c>
      <c r="P45" s="13" t="str">
        <f t="shared" si="4"/>
        <v>subiu</v>
      </c>
      <c r="Q45" s="9" t="str">
        <f>VLOOKUP(A45,Ticker!A:B,2,0)</f>
        <v>Grupo Vamos</v>
      </c>
      <c r="R45" s="9" t="str">
        <f>VLOOKUP(Q45,Chatgpt!A:C,2,0)</f>
        <v>Logística</v>
      </c>
      <c r="S45" s="9">
        <f>VLOOKUP(Q45,Chatgpt!A:C,3,0)</f>
        <v>22</v>
      </c>
      <c r="T45" s="9" t="str">
        <f t="shared" si="5"/>
        <v>menor que 50</v>
      </c>
    </row>
    <row r="46" ht="15.75" customHeight="1">
      <c r="A46" s="5" t="s">
        <v>108</v>
      </c>
      <c r="B46" s="6">
        <v>45317.0</v>
      </c>
      <c r="C46" s="7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5" t="s">
        <v>109</v>
      </c>
      <c r="L46" s="9">
        <f t="shared" si="1"/>
        <v>0</v>
      </c>
      <c r="M46" s="10">
        <f t="shared" si="2"/>
        <v>9.74</v>
      </c>
      <c r="N46" s="11">
        <f>VLOOKUP(A46,Total_de_acoes!A:B,2,0)</f>
        <v>331799687</v>
      </c>
      <c r="O46" s="12">
        <f t="shared" si="3"/>
        <v>0</v>
      </c>
      <c r="P46" s="18" t="str">
        <f t="shared" si="4"/>
        <v>estavel</v>
      </c>
      <c r="Q46" s="9" t="str">
        <f>VLOOKUP(A46,Ticker!A:B,2,0)</f>
        <v>Marfrig</v>
      </c>
      <c r="R46" s="9" t="str">
        <f>VLOOKUP(Q46,Chatgpt!A:C,2,0)</f>
        <v>Alimentos</v>
      </c>
      <c r="S46" s="9">
        <f>VLOOKUP(Q46,Chatgpt!A:C,3,0)</f>
        <v>14</v>
      </c>
      <c r="T46" s="9" t="str">
        <f t="shared" si="5"/>
        <v>menor que 50</v>
      </c>
    </row>
    <row r="47" ht="15.75" customHeight="1">
      <c r="A47" s="14" t="s">
        <v>110</v>
      </c>
      <c r="B47" s="15">
        <v>45317.0</v>
      </c>
      <c r="C47" s="16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4" t="s">
        <v>111</v>
      </c>
      <c r="L47" s="9">
        <f t="shared" si="1"/>
        <v>0</v>
      </c>
      <c r="M47" s="10">
        <f t="shared" si="2"/>
        <v>13.2</v>
      </c>
      <c r="N47" s="11">
        <f>VLOOKUP(A47,Total_de_acoes!A:B,2,0)</f>
        <v>4394245879</v>
      </c>
      <c r="O47" s="12">
        <f t="shared" si="3"/>
        <v>0</v>
      </c>
      <c r="P47" s="18" t="str">
        <f t="shared" si="4"/>
        <v>estavel</v>
      </c>
      <c r="Q47" s="9" t="str">
        <f>VLOOKUP(A47,Ticker!A:B,2,0)</f>
        <v>Ambev</v>
      </c>
      <c r="R47" s="9" t="str">
        <f>VLOOKUP(Q47,Chatgpt!A:C,2,0)</f>
        <v>Bebidas</v>
      </c>
      <c r="S47" s="9">
        <f>VLOOKUP(Q47,Chatgpt!A:C,3,0)</f>
        <v>32</v>
      </c>
      <c r="T47" s="9" t="str">
        <f t="shared" si="5"/>
        <v>menor que 50</v>
      </c>
    </row>
    <row r="48" ht="15.75" customHeight="1">
      <c r="A48" s="5" t="s">
        <v>112</v>
      </c>
      <c r="B48" s="6">
        <v>45317.0</v>
      </c>
      <c r="C48" s="7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5" t="s">
        <v>113</v>
      </c>
      <c r="L48" s="9">
        <f t="shared" si="1"/>
        <v>-0.0002</v>
      </c>
      <c r="M48" s="10">
        <f t="shared" si="2"/>
        <v>33.73674735</v>
      </c>
      <c r="N48" s="11">
        <f>VLOOKUP(A48,Total_de_acoes!A:B,2,0)</f>
        <v>671750768</v>
      </c>
      <c r="O48" s="12">
        <f t="shared" si="3"/>
        <v>-4532537.188</v>
      </c>
      <c r="P48" s="19" t="str">
        <f t="shared" si="4"/>
        <v>desceu</v>
      </c>
      <c r="Q48" s="9" t="str">
        <f>VLOOKUP(A48,Ticker!A:B,2,0)</f>
        <v>BB Seguridade</v>
      </c>
      <c r="R48" s="9" t="str">
        <f>VLOOKUP(Q48,Chatgpt!A:C,2,0)</f>
        <v>Seguros</v>
      </c>
      <c r="S48" s="9">
        <f>VLOOKUP(Q48,Chatgpt!A:C,3,0)</f>
        <v>11</v>
      </c>
      <c r="T48" s="9" t="str">
        <f t="shared" si="5"/>
        <v>menor que 50</v>
      </c>
    </row>
    <row r="49" ht="15.75" customHeight="1">
      <c r="A49" s="14" t="s">
        <v>114</v>
      </c>
      <c r="B49" s="15">
        <v>45317.0</v>
      </c>
      <c r="C49" s="16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4" t="s">
        <v>115</v>
      </c>
      <c r="L49" s="9">
        <f t="shared" si="1"/>
        <v>-0.0006</v>
      </c>
      <c r="M49" s="10">
        <f t="shared" si="2"/>
        <v>77.08625175</v>
      </c>
      <c r="N49" s="11">
        <f>VLOOKUP(A49,Total_de_acoes!A:B,2,0)</f>
        <v>340001799</v>
      </c>
      <c r="O49" s="12">
        <f t="shared" si="3"/>
        <v>-15725678.56</v>
      </c>
      <c r="P49" s="19" t="str">
        <f t="shared" si="4"/>
        <v>desceu</v>
      </c>
      <c r="Q49" s="9" t="str">
        <f>VLOOKUP(A49,Ticker!A:B,2,0)</f>
        <v>Sabesp</v>
      </c>
      <c r="R49" s="9" t="str">
        <f>VLOOKUP(Q49,Chatgpt!A:C,2,0)</f>
        <v>Saneamento Básico</v>
      </c>
      <c r="S49" s="9">
        <f>VLOOKUP(Q49,Chatgpt!A:C,3,0)</f>
        <v>47</v>
      </c>
      <c r="T49" s="9" t="str">
        <f t="shared" si="5"/>
        <v>menor que 50</v>
      </c>
    </row>
    <row r="50" ht="15.75" customHeight="1">
      <c r="A50" s="5" t="s">
        <v>116</v>
      </c>
      <c r="B50" s="6">
        <v>45317.0</v>
      </c>
      <c r="C50" s="7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5" t="s">
        <v>117</v>
      </c>
      <c r="L50" s="9">
        <f t="shared" si="1"/>
        <v>-0.0006</v>
      </c>
      <c r="M50" s="10">
        <f t="shared" si="2"/>
        <v>30.89853912</v>
      </c>
      <c r="N50" s="11">
        <f>VLOOKUP(A50,Total_de_acoes!A:B,2,0)</f>
        <v>514122351</v>
      </c>
      <c r="O50" s="12">
        <f t="shared" si="3"/>
        <v>-9531377.746</v>
      </c>
      <c r="P50" s="19" t="str">
        <f t="shared" si="4"/>
        <v>desceu</v>
      </c>
      <c r="Q50" s="9" t="str">
        <f>VLOOKUP(A50,Ticker!A:B,2,0)</f>
        <v>Totvs</v>
      </c>
      <c r="R50" s="9" t="str">
        <f>VLOOKUP(Q50,Chatgpt!A:C,2,0)</f>
        <v>Tecnologia</v>
      </c>
      <c r="S50" s="9">
        <f>VLOOKUP(Q50,Chatgpt!A:C,3,0)</f>
        <v>39</v>
      </c>
      <c r="T50" s="9" t="str">
        <f t="shared" si="5"/>
        <v>menor que 50</v>
      </c>
    </row>
    <row r="51" ht="15.75" customHeight="1">
      <c r="A51" s="14" t="s">
        <v>118</v>
      </c>
      <c r="B51" s="15">
        <v>45317.0</v>
      </c>
      <c r="C51" s="16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4" t="s">
        <v>119</v>
      </c>
      <c r="L51" s="9">
        <f t="shared" si="1"/>
        <v>-0.0017</v>
      </c>
      <c r="M51" s="10">
        <f t="shared" si="2"/>
        <v>11.6598217</v>
      </c>
      <c r="N51" s="11">
        <f>VLOOKUP(A51,Total_de_acoes!A:B,2,0)</f>
        <v>1437415777</v>
      </c>
      <c r="O51" s="12">
        <f t="shared" si="3"/>
        <v>-28492019.83</v>
      </c>
      <c r="P51" s="19" t="str">
        <f t="shared" si="4"/>
        <v>desceu</v>
      </c>
      <c r="Q51" s="9" t="str">
        <f>VLOOKUP(A51,Ticker!A:B,2,0)</f>
        <v>CEMIG</v>
      </c>
      <c r="R51" s="9" t="str">
        <f>VLOOKUP(Q51,Chatgpt!A:C,2,0)</f>
        <v>Energia Elétrica</v>
      </c>
      <c r="S51" s="9">
        <f>VLOOKUP(Q51,Chatgpt!A:C,3,0)</f>
        <v>69</v>
      </c>
      <c r="T51" s="9" t="str">
        <f t="shared" si="5"/>
        <v>entre 50 e 100</v>
      </c>
    </row>
    <row r="52" ht="15.75" customHeight="1">
      <c r="A52" s="5" t="s">
        <v>120</v>
      </c>
      <c r="B52" s="6">
        <v>45317.0</v>
      </c>
      <c r="C52" s="7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5" t="s">
        <v>121</v>
      </c>
      <c r="L52" s="9">
        <f t="shared" si="1"/>
        <v>-0.0019</v>
      </c>
      <c r="M52" s="10">
        <f t="shared" si="2"/>
        <v>46.12764252</v>
      </c>
      <c r="N52" s="11">
        <f>VLOOKUP(A52,Total_de_acoes!A:B,2,0)</f>
        <v>268544014</v>
      </c>
      <c r="O52" s="12">
        <f t="shared" si="3"/>
        <v>-23535874.33</v>
      </c>
      <c r="P52" s="19" t="str">
        <f t="shared" si="4"/>
        <v>desceu</v>
      </c>
      <c r="Q52" s="9" t="str">
        <f>VLOOKUP(A52,Ticker!A:B,2,0)</f>
        <v>Eletrobras</v>
      </c>
      <c r="R52" s="9" t="str">
        <f>VLOOKUP(Q52,Chatgpt!A:C,2,0)</f>
        <v>Energia Elétrica</v>
      </c>
      <c r="S52" s="9">
        <f>VLOOKUP(Q52,Chatgpt!A:C,3,0)</f>
        <v>59</v>
      </c>
      <c r="T52" s="9" t="str">
        <f t="shared" si="5"/>
        <v>entre 50 e 100</v>
      </c>
    </row>
    <row r="53" ht="15.75" customHeight="1">
      <c r="A53" s="14" t="s">
        <v>122</v>
      </c>
      <c r="B53" s="15">
        <v>45317.0</v>
      </c>
      <c r="C53" s="16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4" t="s">
        <v>123</v>
      </c>
      <c r="L53" s="9">
        <f t="shared" si="1"/>
        <v>-0.0023</v>
      </c>
      <c r="M53" s="10">
        <f t="shared" si="2"/>
        <v>12.89966924</v>
      </c>
      <c r="N53" s="11">
        <f>VLOOKUP(A53,Total_de_acoes!A:B,2,0)</f>
        <v>1579130168</v>
      </c>
      <c r="O53" s="12">
        <f t="shared" si="3"/>
        <v>-46851590.76</v>
      </c>
      <c r="P53" s="19" t="str">
        <f t="shared" si="4"/>
        <v>desceu</v>
      </c>
      <c r="Q53" s="9" t="str">
        <f>VLOOKUP(A53,Ticker!A:B,2,0)</f>
        <v>Eneva</v>
      </c>
      <c r="R53" s="9" t="str">
        <f>VLOOKUP(Q53,Chatgpt!A:C,2,0)</f>
        <v>Energia</v>
      </c>
      <c r="S53" s="9">
        <f>VLOOKUP(Q53,Chatgpt!A:C,3,0)</f>
        <v>9</v>
      </c>
      <c r="T53" s="9" t="str">
        <f t="shared" si="5"/>
        <v>menor que 50</v>
      </c>
    </row>
    <row r="54" ht="15.75" customHeight="1">
      <c r="A54" s="5" t="s">
        <v>124</v>
      </c>
      <c r="B54" s="6">
        <v>45317.0</v>
      </c>
      <c r="C54" s="7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5" t="s">
        <v>125</v>
      </c>
      <c r="L54" s="9">
        <f t="shared" si="1"/>
        <v>-0.0024</v>
      </c>
      <c r="M54" s="10">
        <f t="shared" si="2"/>
        <v>33.24979952</v>
      </c>
      <c r="N54" s="11">
        <f>VLOOKUP(A54,Total_de_acoes!A:B,2,0)</f>
        <v>1481593024</v>
      </c>
      <c r="O54" s="12">
        <f t="shared" si="3"/>
        <v>-118230410.4</v>
      </c>
      <c r="P54" s="19" t="str">
        <f t="shared" si="4"/>
        <v>desceu</v>
      </c>
      <c r="Q54" s="9" t="str">
        <f>VLOOKUP(A54,Ticker!A:B,2,0)</f>
        <v>WEG</v>
      </c>
      <c r="R54" s="9" t="str">
        <f>VLOOKUP(Q54,Chatgpt!A:C,2,0)</f>
        <v>Equipamentos Elétricos</v>
      </c>
      <c r="S54" s="9">
        <f>VLOOKUP(Q54,Chatgpt!A:C,3,0)</f>
        <v>61</v>
      </c>
      <c r="T54" s="9" t="str">
        <f t="shared" si="5"/>
        <v>entre 50 e 100</v>
      </c>
    </row>
    <row r="55" ht="15.75" customHeight="1">
      <c r="A55" s="14" t="s">
        <v>126</v>
      </c>
      <c r="B55" s="15">
        <v>45317.0</v>
      </c>
      <c r="C55" s="16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4" t="s">
        <v>127</v>
      </c>
      <c r="L55" s="9">
        <f t="shared" si="1"/>
        <v>-0.0025</v>
      </c>
      <c r="M55" s="10">
        <f t="shared" si="2"/>
        <v>19.34837093</v>
      </c>
      <c r="N55" s="11">
        <f>VLOOKUP(A55,Total_de_acoes!A:B,2,0)</f>
        <v>195751130</v>
      </c>
      <c r="O55" s="12">
        <f t="shared" si="3"/>
        <v>-9468663.682</v>
      </c>
      <c r="P55" s="19" t="str">
        <f t="shared" si="4"/>
        <v>desceu</v>
      </c>
      <c r="Q55" s="9" t="str">
        <f>VLOOKUP(A55,Ticker!A:B,2,0)</f>
        <v>SLC Agrícola</v>
      </c>
      <c r="R55" s="9" t="str">
        <f>VLOOKUP(Q55,Chatgpt!A:C,2,0)</f>
        <v>Agronegócio</v>
      </c>
      <c r="S55" s="9">
        <f>VLOOKUP(Q55,Chatgpt!A:C,3,0)</f>
        <v>42</v>
      </c>
      <c r="T55" s="9" t="str">
        <f t="shared" si="5"/>
        <v>menor que 50</v>
      </c>
    </row>
    <row r="56" ht="15.75" customHeight="1">
      <c r="A56" s="5" t="s">
        <v>128</v>
      </c>
      <c r="B56" s="6">
        <v>45317.0</v>
      </c>
      <c r="C56" s="7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5" t="s">
        <v>129</v>
      </c>
      <c r="L56" s="9">
        <f t="shared" si="1"/>
        <v>-0.0028</v>
      </c>
      <c r="M56" s="10">
        <f t="shared" si="2"/>
        <v>24.68912956</v>
      </c>
      <c r="N56" s="11">
        <f>VLOOKUP(A56,Total_de_acoes!A:B,2,0)</f>
        <v>532616595</v>
      </c>
      <c r="O56" s="12">
        <f t="shared" si="3"/>
        <v>-36819552.34</v>
      </c>
      <c r="P56" s="19" t="str">
        <f t="shared" si="4"/>
        <v>desceu</v>
      </c>
      <c r="Q56" s="9" t="str">
        <f>VLOOKUP(A56,Ticker!A:B,2,0)</f>
        <v>ALOS3</v>
      </c>
      <c r="R56" s="9" t="str">
        <f>VLOOKUP(Q56,Chatgpt!A:C,2,0)</f>
        <v>Logística</v>
      </c>
      <c r="S56" s="9">
        <f>VLOOKUP(Q56,Chatgpt!A:C,3,0)</f>
        <v>2</v>
      </c>
      <c r="T56" s="9" t="str">
        <f t="shared" si="5"/>
        <v>menor que 50</v>
      </c>
    </row>
    <row r="57" ht="15.75" customHeight="1">
      <c r="A57" s="14" t="s">
        <v>130</v>
      </c>
      <c r="B57" s="15">
        <v>45317.0</v>
      </c>
      <c r="C57" s="16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4" t="s">
        <v>131</v>
      </c>
      <c r="L57" s="9">
        <f t="shared" si="1"/>
        <v>-0.003</v>
      </c>
      <c r="M57" s="10">
        <f t="shared" si="2"/>
        <v>13.30992979</v>
      </c>
      <c r="N57" s="11">
        <f>VLOOKUP(A57,Total_de_acoes!A:B,2,0)</f>
        <v>995335937</v>
      </c>
      <c r="O57" s="12">
        <f t="shared" si="3"/>
        <v>-39743554.31</v>
      </c>
      <c r="P57" s="19" t="str">
        <f t="shared" si="4"/>
        <v>desceu</v>
      </c>
      <c r="Q57" s="9" t="str">
        <f>VLOOKUP(A57,Ticker!A:B,2,0)</f>
        <v>Grupo CCR</v>
      </c>
      <c r="R57" s="9" t="str">
        <f>VLOOKUP(Q57,Chatgpt!A:C,2,0)</f>
        <v>Infraestrutura</v>
      </c>
      <c r="S57" s="9">
        <f>VLOOKUP(Q57,Chatgpt!A:C,3,0)</f>
        <v>24</v>
      </c>
      <c r="T57" s="9" t="str">
        <f t="shared" si="5"/>
        <v>menor que 50</v>
      </c>
    </row>
    <row r="58" ht="15.75" customHeight="1">
      <c r="A58" s="5" t="s">
        <v>132</v>
      </c>
      <c r="B58" s="6">
        <v>45317.0</v>
      </c>
      <c r="C58" s="7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5" t="s">
        <v>133</v>
      </c>
      <c r="L58" s="9">
        <f t="shared" si="1"/>
        <v>-0.0032</v>
      </c>
      <c r="M58" s="10">
        <f t="shared" si="2"/>
        <v>3.039727127</v>
      </c>
      <c r="N58" s="11">
        <f>VLOOKUP(A58,Total_de_acoes!A:B,2,0)</f>
        <v>1814920980</v>
      </c>
      <c r="O58" s="12">
        <f t="shared" si="3"/>
        <v>-17653966.51</v>
      </c>
      <c r="P58" s="19" t="str">
        <f t="shared" si="4"/>
        <v>desceu</v>
      </c>
      <c r="Q58" s="9" t="str">
        <f>VLOOKUP(A58,Ticker!A:B,2,0)</f>
        <v>Cogna</v>
      </c>
      <c r="R58" s="9" t="str">
        <f>VLOOKUP(Q58,Chatgpt!A:C,2,0)</f>
        <v>Educação</v>
      </c>
      <c r="S58" s="9">
        <f>VLOOKUP(Q58,Chatgpt!A:C,3,0)</f>
        <v>51</v>
      </c>
      <c r="T58" s="9" t="str">
        <f t="shared" si="5"/>
        <v>entre 50 e 100</v>
      </c>
    </row>
    <row r="59" ht="15.75" customHeight="1">
      <c r="A59" s="14" t="s">
        <v>134</v>
      </c>
      <c r="B59" s="15">
        <v>45317.0</v>
      </c>
      <c r="C59" s="16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4" t="s">
        <v>135</v>
      </c>
      <c r="L59" s="9">
        <f t="shared" si="1"/>
        <v>-0.0041</v>
      </c>
      <c r="M59" s="10">
        <f t="shared" si="2"/>
        <v>26.22753288</v>
      </c>
      <c r="N59" s="11">
        <f>VLOOKUP(A59,Total_de_acoes!A:B,2,0)</f>
        <v>395801044</v>
      </c>
      <c r="O59" s="12">
        <f t="shared" si="3"/>
        <v>-42561628.08</v>
      </c>
      <c r="P59" s="19" t="str">
        <f t="shared" si="4"/>
        <v>desceu</v>
      </c>
      <c r="Q59" s="9" t="str">
        <f>VLOOKUP(A59,Ticker!A:B,2,0)</f>
        <v>Transmissão Paulista</v>
      </c>
      <c r="R59" s="9" t="str">
        <f>VLOOKUP(Q59,Chatgpt!A:C,2,0)</f>
        <v>Energia Elétrica</v>
      </c>
      <c r="S59" s="9">
        <f>VLOOKUP(Q59,Chatgpt!A:C,3,0)</f>
        <v>24</v>
      </c>
      <c r="T59" s="9" t="str">
        <f t="shared" si="5"/>
        <v>menor que 50</v>
      </c>
    </row>
    <row r="60" ht="15.75" customHeight="1">
      <c r="A60" s="5" t="s">
        <v>136</v>
      </c>
      <c r="B60" s="6">
        <v>45317.0</v>
      </c>
      <c r="C60" s="7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5" t="s">
        <v>137</v>
      </c>
      <c r="L60" s="9">
        <f t="shared" si="1"/>
        <v>-0.0046</v>
      </c>
      <c r="M60" s="10">
        <f t="shared" si="2"/>
        <v>41.22965642</v>
      </c>
      <c r="N60" s="11">
        <f>VLOOKUP(A60,Total_de_acoes!A:B,2,0)</f>
        <v>255236961</v>
      </c>
      <c r="O60" s="12">
        <f t="shared" si="3"/>
        <v>-48407328.15</v>
      </c>
      <c r="P60" s="19" t="str">
        <f t="shared" si="4"/>
        <v>desceu</v>
      </c>
      <c r="Q60" s="9" t="str">
        <f>VLOOKUP(A60,Ticker!A:B,2,0)</f>
        <v>Engie</v>
      </c>
      <c r="R60" s="9" t="str">
        <f>VLOOKUP(Q60,Chatgpt!A:C,2,0)</f>
        <v>Energia</v>
      </c>
      <c r="S60" s="9">
        <f>VLOOKUP(Q60,Chatgpt!A:C,3,0)</f>
        <v>25</v>
      </c>
      <c r="T60" s="9" t="str">
        <f t="shared" si="5"/>
        <v>menor que 50</v>
      </c>
    </row>
    <row r="61" ht="15.75" customHeight="1">
      <c r="A61" s="14" t="s">
        <v>138</v>
      </c>
      <c r="B61" s="15">
        <v>45317.0</v>
      </c>
      <c r="C61" s="16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4" t="s">
        <v>139</v>
      </c>
      <c r="L61" s="9">
        <f t="shared" si="1"/>
        <v>-0.0047</v>
      </c>
      <c r="M61" s="10">
        <f t="shared" si="2"/>
        <v>23.33969657</v>
      </c>
      <c r="N61" s="11">
        <f>VLOOKUP(A61,Total_de_acoes!A:B,2,0)</f>
        <v>1114412532</v>
      </c>
      <c r="O61" s="12">
        <f t="shared" si="3"/>
        <v>-122247236.7</v>
      </c>
      <c r="P61" s="19" t="str">
        <f t="shared" si="4"/>
        <v>desceu</v>
      </c>
      <c r="Q61" s="9" t="str">
        <f>VLOOKUP(A61,Ticker!A:B,2,0)</f>
        <v>Vibra Energia</v>
      </c>
      <c r="R61" s="9" t="str">
        <f>VLOOKUP(Q61,Chatgpt!A:C,2,0)</f>
        <v>Energia</v>
      </c>
      <c r="S61" s="9">
        <f>VLOOKUP(Q61,Chatgpt!A:C,3,0)</f>
        <v>8</v>
      </c>
      <c r="T61" s="9" t="str">
        <f t="shared" si="5"/>
        <v>menor que 50</v>
      </c>
    </row>
    <row r="62" ht="15.75" customHeight="1">
      <c r="A62" s="5" t="s">
        <v>140</v>
      </c>
      <c r="B62" s="6">
        <v>45317.0</v>
      </c>
      <c r="C62" s="7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5" t="s">
        <v>141</v>
      </c>
      <c r="L62" s="9">
        <f t="shared" si="1"/>
        <v>-0.0065</v>
      </c>
      <c r="M62" s="10">
        <f t="shared" si="2"/>
        <v>40.9159537</v>
      </c>
      <c r="N62" s="11">
        <f>VLOOKUP(A62,Total_de_acoes!A:B,2,0)</f>
        <v>81838843</v>
      </c>
      <c r="O62" s="12">
        <f t="shared" si="3"/>
        <v>-21765343.02</v>
      </c>
      <c r="P62" s="19" t="str">
        <f t="shared" si="4"/>
        <v>desceu</v>
      </c>
      <c r="Q62" s="9" t="str">
        <f>VLOOKUP(A62,Ticker!A:B,2,0)</f>
        <v>IRB Brasil RE</v>
      </c>
      <c r="R62" s="9" t="str">
        <f>VLOOKUP(Q62,Chatgpt!A:C,2,0)</f>
        <v>Seguros</v>
      </c>
      <c r="S62" s="9">
        <f>VLOOKUP(Q62,Chatgpt!A:C,3,0)</f>
        <v>83</v>
      </c>
      <c r="T62" s="9" t="str">
        <f t="shared" si="5"/>
        <v>entre 50 e 100</v>
      </c>
    </row>
    <row r="63" ht="15.75" customHeight="1">
      <c r="A63" s="14" t="s">
        <v>142</v>
      </c>
      <c r="B63" s="15">
        <v>45317.0</v>
      </c>
      <c r="C63" s="16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4" t="s">
        <v>143</v>
      </c>
      <c r="L63" s="9">
        <f t="shared" si="1"/>
        <v>-0.0065</v>
      </c>
      <c r="M63" s="10">
        <f t="shared" si="2"/>
        <v>41.12732763</v>
      </c>
      <c r="N63" s="11">
        <f>VLOOKUP(A63,Total_de_acoes!A:B,2,0)</f>
        <v>1980568384</v>
      </c>
      <c r="O63" s="12">
        <f t="shared" si="3"/>
        <v>-529460651.3</v>
      </c>
      <c r="P63" s="19" t="str">
        <f t="shared" si="4"/>
        <v>desceu</v>
      </c>
      <c r="Q63" s="9" t="str">
        <f>VLOOKUP(A63,Ticker!A:B,2,0)</f>
        <v>Eletrobras</v>
      </c>
      <c r="R63" s="9" t="str">
        <f>VLOOKUP(Q63,Chatgpt!A:C,2,0)</f>
        <v>Energia Elétrica</v>
      </c>
      <c r="S63" s="9">
        <f>VLOOKUP(Q63,Chatgpt!A:C,3,0)</f>
        <v>59</v>
      </c>
      <c r="T63" s="9" t="str">
        <f t="shared" si="5"/>
        <v>entre 50 e 100</v>
      </c>
    </row>
    <row r="64" ht="15.75" customHeight="1">
      <c r="A64" s="5" t="s">
        <v>144</v>
      </c>
      <c r="B64" s="6">
        <v>45317.0</v>
      </c>
      <c r="C64" s="7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5" t="s">
        <v>145</v>
      </c>
      <c r="L64" s="9">
        <f t="shared" si="1"/>
        <v>-0.0087</v>
      </c>
      <c r="M64" s="10">
        <f t="shared" si="2"/>
        <v>3.429839605</v>
      </c>
      <c r="N64" s="11">
        <f>VLOOKUP(A64,Total_de_acoes!A:B,2,0)</f>
        <v>309729428</v>
      </c>
      <c r="O64" s="12">
        <f t="shared" si="3"/>
        <v>-9242203.652</v>
      </c>
      <c r="P64" s="19" t="str">
        <f t="shared" si="4"/>
        <v>desceu</v>
      </c>
      <c r="Q64" s="9" t="str">
        <f>VLOOKUP(A64,Ticker!A:B,2,0)</f>
        <v>Petz</v>
      </c>
      <c r="R64" s="9" t="str">
        <f>VLOOKUP(Q64,Chatgpt!A:C,2,0)</f>
        <v>Varejo</v>
      </c>
      <c r="S64" s="9">
        <f>VLOOKUP(Q64,Chatgpt!A:C,3,0)</f>
        <v>18</v>
      </c>
      <c r="T64" s="9" t="str">
        <f t="shared" si="5"/>
        <v>menor que 50</v>
      </c>
    </row>
    <row r="65" ht="15.75" customHeight="1">
      <c r="A65" s="14" t="s">
        <v>146</v>
      </c>
      <c r="B65" s="15">
        <v>45317.0</v>
      </c>
      <c r="C65" s="16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4" t="s">
        <v>147</v>
      </c>
      <c r="L65" s="9">
        <f t="shared" si="1"/>
        <v>-0.0093</v>
      </c>
      <c r="M65" s="10">
        <f t="shared" si="2"/>
        <v>16.05935197</v>
      </c>
      <c r="N65" s="11">
        <f>VLOOKUP(A65,Total_de_acoes!A:B,2,0)</f>
        <v>91514307</v>
      </c>
      <c r="O65" s="12">
        <f t="shared" si="3"/>
        <v>-13667842.34</v>
      </c>
      <c r="P65" s="19" t="str">
        <f t="shared" si="4"/>
        <v>desceu</v>
      </c>
      <c r="Q65" s="9" t="str">
        <f>VLOOKUP(A65,Ticker!A:B,2,0)</f>
        <v>EZTEC</v>
      </c>
      <c r="R65" s="9" t="str">
        <f>VLOOKUP(Q65,Chatgpt!A:C,2,0)</f>
        <v>Construção Civil</v>
      </c>
      <c r="S65" s="9">
        <f>VLOOKUP(Q65,Chatgpt!A:C,3,0)</f>
        <v>42</v>
      </c>
      <c r="T65" s="9" t="str">
        <f t="shared" si="5"/>
        <v>menor que 50</v>
      </c>
    </row>
    <row r="66" ht="15.75" customHeight="1">
      <c r="A66" s="5" t="s">
        <v>148</v>
      </c>
      <c r="B66" s="6">
        <v>45317.0</v>
      </c>
      <c r="C66" s="7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5" t="s">
        <v>91</v>
      </c>
      <c r="L66" s="9">
        <f t="shared" si="1"/>
        <v>-0.0107</v>
      </c>
      <c r="M66" s="10">
        <f t="shared" si="2"/>
        <v>16.66835136</v>
      </c>
      <c r="N66" s="11">
        <f>VLOOKUP(A66,Total_de_acoes!A:B,2,0)</f>
        <v>240822651</v>
      </c>
      <c r="O66" s="12">
        <f t="shared" si="3"/>
        <v>-42951047.22</v>
      </c>
      <c r="P66" s="19" t="str">
        <f t="shared" si="4"/>
        <v>desceu</v>
      </c>
      <c r="Q66" s="9" t="str">
        <f>VLOOKUP(A66,Ticker!A:B,2,0)</f>
        <v>Fleury</v>
      </c>
      <c r="R66" s="9" t="str">
        <f>VLOOKUP(Q66,Chatgpt!A:C,2,0)</f>
        <v>Saúde</v>
      </c>
      <c r="S66" s="9">
        <f>VLOOKUP(Q66,Chatgpt!A:C,3,0)</f>
        <v>95</v>
      </c>
      <c r="T66" s="9" t="str">
        <f t="shared" si="5"/>
        <v>entre 50 e 100</v>
      </c>
    </row>
    <row r="67" ht="15.75" customHeight="1">
      <c r="A67" s="14" t="s">
        <v>149</v>
      </c>
      <c r="B67" s="15">
        <v>45317.0</v>
      </c>
      <c r="C67" s="16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4" t="s">
        <v>150</v>
      </c>
      <c r="L67" s="9">
        <f t="shared" si="1"/>
        <v>-0.0127</v>
      </c>
      <c r="M67" s="10">
        <f t="shared" si="2"/>
        <v>7.039400385</v>
      </c>
      <c r="N67" s="11">
        <f>VLOOKUP(A67,Total_de_acoes!A:B,2,0)</f>
        <v>496029967</v>
      </c>
      <c r="O67" s="12">
        <f t="shared" si="3"/>
        <v>-44345269.97</v>
      </c>
      <c r="P67" s="19" t="str">
        <f t="shared" si="4"/>
        <v>desceu</v>
      </c>
      <c r="Q67" s="9" t="str">
        <f>VLOOKUP(A67,Ticker!A:B,2,0)</f>
        <v>Grupo Soma</v>
      </c>
      <c r="R67" s="9" t="str">
        <f>VLOOKUP(Q67,Chatgpt!A:C,2,0)</f>
        <v>Varejo</v>
      </c>
      <c r="S67" s="9">
        <f>VLOOKUP(Q67,Chatgpt!A:C,3,0)</f>
        <v>54</v>
      </c>
      <c r="T67" s="9" t="str">
        <f t="shared" si="5"/>
        <v>entre 50 e 100</v>
      </c>
    </row>
    <row r="68" ht="15.75" customHeight="1">
      <c r="A68" s="5" t="s">
        <v>151</v>
      </c>
      <c r="B68" s="6">
        <v>45317.0</v>
      </c>
      <c r="C68" s="7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5" t="s">
        <v>152</v>
      </c>
      <c r="L68" s="9">
        <f t="shared" si="1"/>
        <v>-0.0136</v>
      </c>
      <c r="M68" s="10">
        <f t="shared" si="2"/>
        <v>8.789537713</v>
      </c>
      <c r="N68" s="11">
        <f>VLOOKUP(A68,Total_de_acoes!A:B,2,0)</f>
        <v>176733968</v>
      </c>
      <c r="O68" s="12">
        <f t="shared" si="3"/>
        <v>-21126374.33</v>
      </c>
      <c r="P68" s="19" t="str">
        <f t="shared" si="4"/>
        <v>desceu</v>
      </c>
      <c r="Q68" s="9" t="str">
        <f>VLOOKUP(A68,Ticker!A:B,2,0)</f>
        <v>Alpargatas</v>
      </c>
      <c r="R68" s="9" t="str">
        <f>VLOOKUP(Q68,Chatgpt!A:C,2,0)</f>
        <v>Calçados</v>
      </c>
      <c r="S68" s="9">
        <f>VLOOKUP(Q68,Chatgpt!A:C,3,0)</f>
        <v>113</v>
      </c>
      <c r="T68" s="9" t="str">
        <f t="shared" si="5"/>
        <v>maior que 100</v>
      </c>
    </row>
    <row r="69" ht="15.75" customHeight="1">
      <c r="A69" s="14" t="s">
        <v>153</v>
      </c>
      <c r="B69" s="15">
        <v>45317.0</v>
      </c>
      <c r="C69" s="16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4" t="s">
        <v>154</v>
      </c>
      <c r="L69" s="9">
        <f t="shared" si="1"/>
        <v>-0.0138</v>
      </c>
      <c r="M69" s="10">
        <f t="shared" si="2"/>
        <v>23.15960251</v>
      </c>
      <c r="N69" s="11">
        <f>VLOOKUP(A69,Total_de_acoes!A:B,2,0)</f>
        <v>265784616</v>
      </c>
      <c r="O69" s="12">
        <f t="shared" si="3"/>
        <v>-84945431.64</v>
      </c>
      <c r="P69" s="19" t="str">
        <f t="shared" si="4"/>
        <v>desceu</v>
      </c>
      <c r="Q69" s="9" t="str">
        <f>VLOOKUP(A69,Ticker!A:B,2,0)</f>
        <v>Cyrela</v>
      </c>
      <c r="R69" s="9" t="str">
        <f>VLOOKUP(Q69,Chatgpt!A:C,2,0)</f>
        <v>Construção Civil</v>
      </c>
      <c r="S69" s="9">
        <f>VLOOKUP(Q69,Chatgpt!A:C,3,0)</f>
        <v>56</v>
      </c>
      <c r="T69" s="9" t="str">
        <f t="shared" si="5"/>
        <v>entre 50 e 100</v>
      </c>
    </row>
    <row r="70" ht="15.75" customHeight="1">
      <c r="A70" s="5" t="s">
        <v>155</v>
      </c>
      <c r="B70" s="6">
        <v>45317.0</v>
      </c>
      <c r="C70" s="7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5" t="s">
        <v>156</v>
      </c>
      <c r="L70" s="9">
        <f t="shared" si="1"/>
        <v>-0.014</v>
      </c>
      <c r="M70" s="10">
        <f t="shared" si="2"/>
        <v>22.71805274</v>
      </c>
      <c r="N70" s="11">
        <f>VLOOKUP(A70,Total_de_acoes!A:B,2,0)</f>
        <v>734632705</v>
      </c>
      <c r="O70" s="12">
        <f t="shared" si="3"/>
        <v>-233651943.5</v>
      </c>
      <c r="P70" s="19" t="str">
        <f t="shared" si="4"/>
        <v>desceu</v>
      </c>
      <c r="Q70" s="9" t="str">
        <f>VLOOKUP(A70,Ticker!A:B,2,0)</f>
        <v>Embraer</v>
      </c>
      <c r="R70" s="9" t="str">
        <f>VLOOKUP(Q70,Chatgpt!A:C,2,0)</f>
        <v>Aeronáutica</v>
      </c>
      <c r="S70" s="9">
        <f>VLOOKUP(Q70,Chatgpt!A:C,3,0)</f>
        <v>53</v>
      </c>
      <c r="T70" s="9" t="str">
        <f t="shared" si="5"/>
        <v>entre 50 e 100</v>
      </c>
    </row>
    <row r="71" ht="15.75" customHeight="1">
      <c r="A71" s="14" t="s">
        <v>157</v>
      </c>
      <c r="B71" s="15">
        <v>45317.0</v>
      </c>
      <c r="C71" s="16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4" t="s">
        <v>158</v>
      </c>
      <c r="L71" s="9">
        <f t="shared" si="1"/>
        <v>-0.0141</v>
      </c>
      <c r="M71" s="10">
        <f t="shared" si="2"/>
        <v>16.1983974</v>
      </c>
      <c r="N71" s="11">
        <f>VLOOKUP(A71,Total_de_acoes!A:B,2,0)</f>
        <v>846244302</v>
      </c>
      <c r="O71" s="12">
        <f t="shared" si="3"/>
        <v>-193280001.2</v>
      </c>
      <c r="P71" s="19" t="str">
        <f t="shared" si="4"/>
        <v>desceu</v>
      </c>
      <c r="Q71" s="9" t="str">
        <f>VLOOKUP(A71,Ticker!A:B,2,0)</f>
        <v>Natura</v>
      </c>
      <c r="R71" s="9" t="str">
        <f>VLOOKUP(Q71,Chatgpt!A:C,2,0)</f>
        <v>Cosméticos</v>
      </c>
      <c r="S71" s="9">
        <f>VLOOKUP(Q71,Chatgpt!A:C,3,0)</f>
        <v>54</v>
      </c>
      <c r="T71" s="9" t="str">
        <f t="shared" si="5"/>
        <v>entre 50 e 100</v>
      </c>
    </row>
    <row r="72" ht="15.75" customHeight="1">
      <c r="A72" s="5" t="s">
        <v>159</v>
      </c>
      <c r="B72" s="6">
        <v>45317.0</v>
      </c>
      <c r="C72" s="7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5" t="s">
        <v>160</v>
      </c>
      <c r="L72" s="9">
        <f t="shared" si="1"/>
        <v>-0.0142</v>
      </c>
      <c r="M72" s="10">
        <f t="shared" si="2"/>
        <v>13.99878271</v>
      </c>
      <c r="N72" s="11">
        <f>VLOOKUP(A72,Total_de_acoes!A:B,2,0)</f>
        <v>1349217892</v>
      </c>
      <c r="O72" s="12">
        <f t="shared" si="3"/>
        <v>-268201195.1</v>
      </c>
      <c r="P72" s="19" t="str">
        <f t="shared" si="4"/>
        <v>desceu</v>
      </c>
      <c r="Q72" s="9" t="str">
        <f>VLOOKUP(A72,Ticker!A:B,2,0)</f>
        <v>Assaí</v>
      </c>
      <c r="R72" s="9" t="str">
        <f>VLOOKUP(Q72,Chatgpt!A:C,2,0)</f>
        <v>Alimentos e Varejo</v>
      </c>
      <c r="S72" s="9">
        <f>VLOOKUP(Q72,Chatgpt!A:C,3,0)</f>
        <v>9</v>
      </c>
      <c r="T72" s="9" t="str">
        <f t="shared" si="5"/>
        <v>menor que 50</v>
      </c>
    </row>
    <row r="73" ht="15.75" customHeight="1">
      <c r="A73" s="14" t="s">
        <v>161</v>
      </c>
      <c r="B73" s="15">
        <v>45317.0</v>
      </c>
      <c r="C73" s="16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4" t="s">
        <v>162</v>
      </c>
      <c r="L73" s="9">
        <f t="shared" si="1"/>
        <v>-0.0156</v>
      </c>
      <c r="M73" s="10">
        <f t="shared" si="2"/>
        <v>13.4295002</v>
      </c>
      <c r="N73" s="11">
        <f>VLOOKUP(A73,Total_de_acoes!A:B,2,0)</f>
        <v>5602790110</v>
      </c>
      <c r="O73" s="12">
        <f t="shared" si="3"/>
        <v>-1173785666</v>
      </c>
      <c r="P73" s="19" t="str">
        <f t="shared" si="4"/>
        <v>desceu</v>
      </c>
      <c r="Q73" s="9" t="str">
        <f>VLOOKUP(A73,Ticker!A:B,2,0)</f>
        <v>B3</v>
      </c>
      <c r="R73" s="9" t="str">
        <f>VLOOKUP(Q73,Chatgpt!A:C,2,0)</f>
        <v>Serviços Financeiros</v>
      </c>
      <c r="S73" s="9">
        <f>VLOOKUP(Q73,Chatgpt!A:C,3,0)</f>
        <v>14</v>
      </c>
      <c r="T73" s="9" t="str">
        <f t="shared" si="5"/>
        <v>menor que 50</v>
      </c>
    </row>
    <row r="74" ht="15.75" customHeight="1">
      <c r="A74" s="5" t="s">
        <v>163</v>
      </c>
      <c r="B74" s="6">
        <v>45317.0</v>
      </c>
      <c r="C74" s="7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5" t="s">
        <v>164</v>
      </c>
      <c r="L74" s="9">
        <f t="shared" si="1"/>
        <v>-0.0161</v>
      </c>
      <c r="M74" s="10">
        <f t="shared" si="2"/>
        <v>31.58857607</v>
      </c>
      <c r="N74" s="11">
        <f>VLOOKUP(A74,Total_de_acoes!A:B,2,0)</f>
        <v>409490388</v>
      </c>
      <c r="O74" s="12">
        <f t="shared" si="3"/>
        <v>-208257014.2</v>
      </c>
      <c r="P74" s="19" t="str">
        <f t="shared" si="4"/>
        <v>desceu</v>
      </c>
      <c r="Q74" s="9" t="str">
        <f>VLOOKUP(A74,Ticker!A:B,2,0)</f>
        <v>Hypera</v>
      </c>
      <c r="R74" s="9" t="str">
        <f>VLOOKUP(Q74,Chatgpt!A:C,2,0)</f>
        <v>Farmacêutica</v>
      </c>
      <c r="S74" s="9">
        <f>VLOOKUP(Q74,Chatgpt!A:C,3,0)</f>
        <v>21</v>
      </c>
      <c r="T74" s="9" t="str">
        <f t="shared" si="5"/>
        <v>menor que 50</v>
      </c>
    </row>
    <row r="75" ht="15.75" customHeight="1">
      <c r="A75" s="14" t="s">
        <v>165</v>
      </c>
      <c r="B75" s="15">
        <v>45317.0</v>
      </c>
      <c r="C75" s="16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4" t="s">
        <v>166</v>
      </c>
      <c r="L75" s="9">
        <f t="shared" si="1"/>
        <v>-0.0194</v>
      </c>
      <c r="M75" s="10">
        <f t="shared" si="2"/>
        <v>28.75790332</v>
      </c>
      <c r="N75" s="11">
        <f>VLOOKUP(A75,Total_de_acoes!A:B,2,0)</f>
        <v>142377330</v>
      </c>
      <c r="O75" s="12">
        <f t="shared" si="3"/>
        <v>-79432785.74</v>
      </c>
      <c r="P75" s="19" t="str">
        <f t="shared" si="4"/>
        <v>desceu</v>
      </c>
      <c r="Q75" s="9" t="str">
        <f>VLOOKUP(A75,Ticker!A:B,2,0)</f>
        <v>São Martinho</v>
      </c>
      <c r="R75" s="9" t="str">
        <f>VLOOKUP(Q75,Chatgpt!A:C,2,0)</f>
        <v>Açúcar e Álcool</v>
      </c>
      <c r="S75" s="9">
        <f>VLOOKUP(Q75,Chatgpt!A:C,3,0)</f>
        <v>84</v>
      </c>
      <c r="T75" s="9" t="str">
        <f t="shared" si="5"/>
        <v>entre 50 e 100</v>
      </c>
    </row>
    <row r="76" ht="15.75" customHeight="1">
      <c r="A76" s="5" t="s">
        <v>167</v>
      </c>
      <c r="B76" s="6">
        <v>45317.0</v>
      </c>
      <c r="C76" s="7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5" t="s">
        <v>168</v>
      </c>
      <c r="L76" s="9">
        <f t="shared" si="1"/>
        <v>-0.0199</v>
      </c>
      <c r="M76" s="10">
        <f t="shared" si="2"/>
        <v>4.009794919</v>
      </c>
      <c r="N76" s="11">
        <f>VLOOKUP(A76,Total_de_acoes!A:B,2,0)</f>
        <v>4394332306</v>
      </c>
      <c r="O76" s="12">
        <f t="shared" si="3"/>
        <v>-350645389.9</v>
      </c>
      <c r="P76" s="19" t="str">
        <f t="shared" si="4"/>
        <v>desceu</v>
      </c>
      <c r="Q76" s="9" t="str">
        <f>VLOOKUP(A76,Ticker!A:B,2,0)</f>
        <v>Hapvida</v>
      </c>
      <c r="R76" s="9" t="str">
        <f>VLOOKUP(Q76,Chatgpt!A:C,2,0)</f>
        <v>Saúde</v>
      </c>
      <c r="S76" s="9">
        <f>VLOOKUP(Q76,Chatgpt!A:C,3,0)</f>
        <v>44</v>
      </c>
      <c r="T76" s="9" t="str">
        <f t="shared" si="5"/>
        <v>menor que 50</v>
      </c>
    </row>
    <row r="77" ht="15.75" customHeight="1">
      <c r="A77" s="14" t="s">
        <v>169</v>
      </c>
      <c r="B77" s="15">
        <v>45317.0</v>
      </c>
      <c r="C77" s="16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4" t="s">
        <v>170</v>
      </c>
      <c r="L77" s="9">
        <f t="shared" si="1"/>
        <v>-0.0229</v>
      </c>
      <c r="M77" s="10">
        <f t="shared" si="2"/>
        <v>16.14983113</v>
      </c>
      <c r="N77" s="11">
        <f>VLOOKUP(A77,Total_de_acoes!A:B,2,0)</f>
        <v>951329770</v>
      </c>
      <c r="O77" s="12">
        <f t="shared" si="3"/>
        <v>-351831366.6</v>
      </c>
      <c r="P77" s="19" t="str">
        <f t="shared" si="4"/>
        <v>desceu</v>
      </c>
      <c r="Q77" s="9" t="str">
        <f>VLOOKUP(A77,Ticker!A:B,2,0)</f>
        <v>Lojas Renner</v>
      </c>
      <c r="R77" s="9" t="str">
        <f>VLOOKUP(Q77,Chatgpt!A:C,2,0)</f>
        <v>Varejo</v>
      </c>
      <c r="S77" s="9">
        <f>VLOOKUP(Q77,Chatgpt!A:C,3,0)</f>
        <v>54</v>
      </c>
      <c r="T77" s="9" t="str">
        <f t="shared" si="5"/>
        <v>entre 50 e 100</v>
      </c>
    </row>
    <row r="78" ht="15.75" customHeight="1">
      <c r="A78" s="5" t="s">
        <v>171</v>
      </c>
      <c r="B78" s="6">
        <v>45317.0</v>
      </c>
      <c r="C78" s="7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5" t="s">
        <v>172</v>
      </c>
      <c r="L78" s="9">
        <f t="shared" si="1"/>
        <v>-0.0245</v>
      </c>
      <c r="M78" s="10">
        <f t="shared" si="2"/>
        <v>10.97898514</v>
      </c>
      <c r="N78" s="11">
        <f>VLOOKUP(A78,Total_de_acoes!A:B,2,0)</f>
        <v>533990587</v>
      </c>
      <c r="O78" s="12">
        <f t="shared" si="3"/>
        <v>-143635530.6</v>
      </c>
      <c r="P78" s="19" t="str">
        <f t="shared" si="4"/>
        <v>desceu</v>
      </c>
      <c r="Q78" s="9" t="str">
        <f>VLOOKUP(A78,Ticker!A:B,2,0)</f>
        <v>Carrefour Brasil</v>
      </c>
      <c r="R78" s="9" t="str">
        <f>VLOOKUP(Q78,Chatgpt!A:C,2,0)</f>
        <v>Varejo</v>
      </c>
      <c r="S78" s="9">
        <f>VLOOKUP(Q78,Chatgpt!A:C,3,0)</f>
        <v>47</v>
      </c>
      <c r="T78" s="9" t="str">
        <f t="shared" si="5"/>
        <v>menor que 50</v>
      </c>
    </row>
    <row r="79" ht="15.75" customHeight="1">
      <c r="A79" s="14" t="s">
        <v>173</v>
      </c>
      <c r="B79" s="15">
        <v>45317.0</v>
      </c>
      <c r="C79" s="16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4" t="s">
        <v>174</v>
      </c>
      <c r="L79" s="9">
        <f t="shared" si="1"/>
        <v>-0.0246</v>
      </c>
      <c r="M79" s="10">
        <f t="shared" si="2"/>
        <v>8.919417675</v>
      </c>
      <c r="N79" s="11">
        <f>VLOOKUP(A79,Total_de_acoes!A:B,2,0)</f>
        <v>94843047</v>
      </c>
      <c r="O79" s="12">
        <f t="shared" si="3"/>
        <v>-20810240.84</v>
      </c>
      <c r="P79" s="19" t="str">
        <f t="shared" si="4"/>
        <v>desceu</v>
      </c>
      <c r="Q79" s="9" t="str">
        <f>VLOOKUP(A79,Ticker!A:B,2,0)</f>
        <v>Casas Bahia</v>
      </c>
      <c r="R79" s="9" t="str">
        <f>VLOOKUP(Q79,Chatgpt!A:C,2,0)</f>
        <v>Varejo</v>
      </c>
      <c r="S79" s="9">
        <f>VLOOKUP(Q79,Chatgpt!A:C,3,0)</f>
        <v>63</v>
      </c>
      <c r="T79" s="9" t="str">
        <f t="shared" si="5"/>
        <v>entre 50 e 100</v>
      </c>
    </row>
    <row r="80" ht="15.75" customHeight="1">
      <c r="A80" s="5" t="s">
        <v>175</v>
      </c>
      <c r="B80" s="6">
        <v>45317.0</v>
      </c>
      <c r="C80" s="7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5" t="s">
        <v>176</v>
      </c>
      <c r="L80" s="9">
        <f t="shared" si="1"/>
        <v>-0.0363</v>
      </c>
      <c r="M80" s="10">
        <f t="shared" si="2"/>
        <v>58.35841029</v>
      </c>
      <c r="N80" s="11">
        <f>VLOOKUP(A80,Total_de_acoes!A:B,2,0)</f>
        <v>853202347</v>
      </c>
      <c r="O80" s="12">
        <f t="shared" si="3"/>
        <v>-1807432634</v>
      </c>
      <c r="P80" s="19" t="str">
        <f t="shared" si="4"/>
        <v>desceu</v>
      </c>
      <c r="Q80" s="9" t="str">
        <f>VLOOKUP(A80,Ticker!A:B,2,0)</f>
        <v>Localiza</v>
      </c>
      <c r="R80" s="9" t="str">
        <f>VLOOKUP(Q80,Chatgpt!A:C,2,0)</f>
        <v>Aluguel de Carros</v>
      </c>
      <c r="S80" s="9">
        <f>VLOOKUP(Q80,Chatgpt!A:C,3,0)</f>
        <v>48</v>
      </c>
      <c r="T80" s="9" t="str">
        <f t="shared" si="5"/>
        <v>menor que 50</v>
      </c>
    </row>
    <row r="81" ht="15.75" customHeight="1">
      <c r="A81" s="14" t="s">
        <v>177</v>
      </c>
      <c r="B81" s="15">
        <v>45317.0</v>
      </c>
      <c r="C81" s="16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4" t="s">
        <v>178</v>
      </c>
      <c r="L81" s="9">
        <f t="shared" si="1"/>
        <v>-0.0436</v>
      </c>
      <c r="M81" s="10">
        <f t="shared" si="2"/>
        <v>3.209953994</v>
      </c>
      <c r="N81" s="11">
        <f>VLOOKUP(A81,Total_de_acoes!A:B,2,0)</f>
        <v>525582771</v>
      </c>
      <c r="O81" s="12">
        <f t="shared" si="3"/>
        <v>-73557408.06</v>
      </c>
      <c r="P81" s="19" t="str">
        <f t="shared" si="4"/>
        <v>desceu</v>
      </c>
      <c r="Q81" s="9" t="str">
        <f>VLOOKUP(A81,Ticker!A:B,2,0)</f>
        <v>CVC</v>
      </c>
      <c r="R81" s="9" t="str">
        <f>VLOOKUP(Q81,Chatgpt!A:C,2,0)</f>
        <v>Turismo</v>
      </c>
      <c r="S81" s="9">
        <f>VLOOKUP(Q81,Chatgpt!A:C,3,0)</f>
        <v>49</v>
      </c>
      <c r="T81" s="9" t="str">
        <f t="shared" si="5"/>
        <v>menor que 50</v>
      </c>
    </row>
    <row r="82" ht="15.75" customHeight="1">
      <c r="A82" s="5" t="s">
        <v>179</v>
      </c>
      <c r="B82" s="6">
        <v>45317.0</v>
      </c>
      <c r="C82" s="7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5" t="s">
        <v>180</v>
      </c>
      <c r="L82" s="9">
        <f t="shared" si="1"/>
        <v>-0.0807</v>
      </c>
      <c r="M82" s="10">
        <f t="shared" si="2"/>
        <v>6.439682367</v>
      </c>
      <c r="N82" s="11">
        <f>VLOOKUP(A82,Total_de_acoes!A:B,2,0)</f>
        <v>198184909</v>
      </c>
      <c r="O82" s="12">
        <f t="shared" si="3"/>
        <v>-102993202.6</v>
      </c>
      <c r="P82" s="19" t="str">
        <f t="shared" si="4"/>
        <v>desceu</v>
      </c>
      <c r="Q82" s="9" t="str">
        <f>VLOOKUP(A82,Ticker!A:B,2,0)</f>
        <v>GOL</v>
      </c>
      <c r="R82" s="9" t="str">
        <f>VLOOKUP(Q82,Chatgpt!A:C,2,0)</f>
        <v>Transporte Aéreo</v>
      </c>
      <c r="S82" s="9">
        <f>VLOOKUP(Q82,Chatgpt!A:C,3,0)</f>
        <v>21</v>
      </c>
      <c r="T82" s="9" t="str">
        <f t="shared" si="5"/>
        <v>menor que 50</v>
      </c>
    </row>
    <row r="83" ht="15.75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9"/>
      <c r="M83" s="10"/>
      <c r="N83" s="9"/>
      <c r="O83" s="12"/>
      <c r="Q83" s="9"/>
      <c r="R83" s="9"/>
      <c r="S83" s="9"/>
      <c r="T83" s="9"/>
    </row>
    <row r="84" ht="15.75" customHeight="1">
      <c r="A84" s="22"/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9"/>
      <c r="M84" s="10"/>
      <c r="N84" s="9"/>
      <c r="O84" s="12"/>
      <c r="Q84" s="9"/>
      <c r="R84" s="9"/>
      <c r="S84" s="9"/>
      <c r="T84" s="9"/>
    </row>
    <row r="85" ht="15.75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9"/>
      <c r="M85" s="10"/>
      <c r="N85" s="9"/>
      <c r="O85" s="12"/>
      <c r="Q85" s="9"/>
      <c r="R85" s="9"/>
      <c r="S85" s="9"/>
      <c r="T85" s="9"/>
    </row>
    <row r="86" ht="15.75" customHeight="1">
      <c r="A86" s="22"/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9"/>
      <c r="M86" s="10"/>
      <c r="N86" s="9"/>
      <c r="O86" s="12"/>
      <c r="Q86" s="9"/>
      <c r="R86" s="9"/>
      <c r="S86" s="9"/>
      <c r="T86" s="9"/>
    </row>
    <row r="87" ht="15.75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9"/>
      <c r="M87" s="10"/>
      <c r="N87" s="9"/>
      <c r="O87" s="12"/>
      <c r="Q87" s="9"/>
      <c r="R87" s="9"/>
      <c r="S87" s="9"/>
      <c r="T87" s="9"/>
    </row>
    <row r="88" ht="15.75" customHeight="1">
      <c r="A88" s="22"/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9"/>
      <c r="M88" s="10"/>
      <c r="N88" s="9"/>
      <c r="O88" s="12"/>
      <c r="Q88" s="9"/>
      <c r="R88" s="9"/>
      <c r="S88" s="9"/>
      <c r="T88" s="9"/>
    </row>
    <row r="89" ht="15.75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9"/>
      <c r="M89" s="10"/>
      <c r="N89" s="9"/>
      <c r="O89" s="12"/>
      <c r="Q89" s="9"/>
      <c r="R89" s="9"/>
      <c r="S89" s="9"/>
      <c r="T89" s="9"/>
    </row>
    <row r="90" ht="15.75" customHeight="1">
      <c r="A90" s="22"/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9"/>
      <c r="M90" s="10"/>
      <c r="N90" s="9"/>
      <c r="O90" s="12"/>
      <c r="Q90" s="9"/>
      <c r="R90" s="9"/>
      <c r="S90" s="9"/>
      <c r="T90" s="9"/>
    </row>
    <row r="91" ht="15.75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9"/>
      <c r="M91" s="10"/>
      <c r="N91" s="9"/>
      <c r="O91" s="12"/>
      <c r="Q91" s="9"/>
      <c r="R91" s="9"/>
      <c r="S91" s="9"/>
      <c r="T91" s="9"/>
    </row>
    <row r="92" ht="15.75" customHeight="1">
      <c r="A92" s="22"/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9"/>
      <c r="M92" s="10"/>
      <c r="N92" s="9"/>
      <c r="O92" s="12"/>
      <c r="Q92" s="9"/>
      <c r="R92" s="9"/>
      <c r="S92" s="9"/>
      <c r="T92" s="9"/>
    </row>
    <row r="93" ht="15.75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9"/>
      <c r="M93" s="10"/>
      <c r="N93" s="9"/>
      <c r="O93" s="12"/>
      <c r="Q93" s="9"/>
      <c r="R93" s="9"/>
      <c r="S93" s="9"/>
      <c r="T93" s="9"/>
    </row>
    <row r="94" ht="15.75" customHeight="1">
      <c r="A94" s="22"/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9"/>
      <c r="M94" s="10"/>
      <c r="N94" s="9"/>
      <c r="O94" s="12"/>
      <c r="Q94" s="9"/>
      <c r="R94" s="9"/>
      <c r="S94" s="9"/>
      <c r="T94" s="9"/>
    </row>
    <row r="95" ht="15.75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9"/>
      <c r="M95" s="10"/>
      <c r="N95" s="9"/>
      <c r="O95" s="12"/>
      <c r="Q95" s="9"/>
      <c r="R95" s="9"/>
      <c r="S95" s="9"/>
      <c r="T95" s="9"/>
    </row>
    <row r="96" ht="15.75" customHeight="1">
      <c r="A96" s="22"/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9"/>
      <c r="M96" s="10"/>
      <c r="N96" s="9"/>
      <c r="O96" s="12"/>
      <c r="Q96" s="9"/>
      <c r="R96" s="9"/>
      <c r="S96" s="9"/>
      <c r="T96" s="9"/>
    </row>
    <row r="97" ht="15.75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9"/>
      <c r="M97" s="10"/>
      <c r="N97" s="9"/>
      <c r="O97" s="12"/>
      <c r="Q97" s="9"/>
      <c r="R97" s="9"/>
      <c r="S97" s="9"/>
      <c r="T97" s="9"/>
    </row>
    <row r="98" ht="15.75" customHeight="1">
      <c r="A98" s="22"/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9"/>
      <c r="M98" s="10"/>
      <c r="N98" s="9"/>
      <c r="O98" s="12"/>
      <c r="Q98" s="9"/>
      <c r="R98" s="9"/>
      <c r="S98" s="9"/>
      <c r="T98" s="9"/>
    </row>
    <row r="99" ht="15.75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9"/>
      <c r="M99" s="10"/>
      <c r="N99" s="9"/>
      <c r="O99" s="12"/>
      <c r="Q99" s="9"/>
      <c r="R99" s="9"/>
      <c r="S99" s="9"/>
      <c r="T99" s="9"/>
    </row>
    <row r="100" ht="15.75" customHeight="1">
      <c r="A100" s="22"/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9"/>
      <c r="M100" s="10"/>
      <c r="N100" s="9"/>
      <c r="O100" s="12"/>
      <c r="Q100" s="9"/>
      <c r="R100" s="9"/>
      <c r="S100" s="9"/>
      <c r="T100" s="9"/>
    </row>
    <row r="101" ht="15.75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9"/>
      <c r="M101" s="10"/>
      <c r="N101" s="9"/>
      <c r="O101" s="12"/>
      <c r="Q101" s="9"/>
      <c r="R101" s="9"/>
      <c r="S101" s="9"/>
      <c r="T101" s="9"/>
    </row>
    <row r="102" ht="15.75" customHeight="1">
      <c r="A102" s="22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9"/>
      <c r="M102" s="10"/>
      <c r="N102" s="9"/>
      <c r="O102" s="12"/>
      <c r="Q102" s="9"/>
      <c r="R102" s="9"/>
      <c r="S102" s="9"/>
      <c r="T102" s="9"/>
    </row>
    <row r="103" ht="15.75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9"/>
      <c r="M103" s="10"/>
      <c r="N103" s="9"/>
      <c r="O103" s="12"/>
      <c r="Q103" s="9"/>
      <c r="R103" s="9"/>
      <c r="S103" s="9"/>
      <c r="T103" s="9"/>
    </row>
    <row r="104" ht="15.75" customHeight="1">
      <c r="A104" s="22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9"/>
      <c r="M104" s="10"/>
      <c r="N104" s="9"/>
      <c r="O104" s="12"/>
      <c r="Q104" s="9"/>
      <c r="R104" s="9"/>
      <c r="S104" s="9"/>
      <c r="T104" s="9"/>
    </row>
    <row r="105" ht="15.75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9"/>
      <c r="M105" s="10"/>
      <c r="N105" s="9"/>
      <c r="O105" s="12"/>
      <c r="Q105" s="9"/>
      <c r="R105" s="9"/>
      <c r="S105" s="9"/>
      <c r="T105" s="9"/>
    </row>
    <row r="106" ht="15.75" customHeight="1">
      <c r="A106" s="22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9"/>
      <c r="M106" s="10"/>
      <c r="N106" s="9"/>
      <c r="O106" s="12"/>
      <c r="Q106" s="9"/>
      <c r="R106" s="9"/>
      <c r="S106" s="9"/>
      <c r="T106" s="9"/>
    </row>
    <row r="107" ht="15.75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9"/>
      <c r="M107" s="10"/>
      <c r="N107" s="9"/>
      <c r="O107" s="12"/>
      <c r="Q107" s="9"/>
      <c r="R107" s="9"/>
      <c r="S107" s="9"/>
      <c r="T107" s="9"/>
    </row>
    <row r="108" ht="15.75" customHeight="1">
      <c r="A108" s="22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9"/>
      <c r="M108" s="10"/>
      <c r="N108" s="9"/>
      <c r="O108" s="12"/>
      <c r="Q108" s="9"/>
      <c r="R108" s="9"/>
      <c r="S108" s="9"/>
      <c r="T108" s="9"/>
    </row>
    <row r="109" ht="15.75" customHeight="1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9"/>
      <c r="M109" s="10"/>
      <c r="N109" s="9"/>
      <c r="O109" s="12"/>
      <c r="Q109" s="9"/>
      <c r="R109" s="9"/>
      <c r="S109" s="9"/>
      <c r="T109" s="9"/>
    </row>
    <row r="110" ht="15.75" customHeight="1">
      <c r="A110" s="22"/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9"/>
      <c r="M110" s="10"/>
      <c r="N110" s="9"/>
      <c r="O110" s="12"/>
      <c r="Q110" s="9"/>
      <c r="R110" s="9"/>
      <c r="S110" s="9"/>
      <c r="T110" s="9"/>
    </row>
    <row r="111" ht="15.75" customHeight="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9"/>
      <c r="M111" s="10"/>
      <c r="N111" s="9"/>
      <c r="O111" s="12"/>
      <c r="Q111" s="9"/>
      <c r="R111" s="9"/>
      <c r="S111" s="9"/>
      <c r="T111" s="9"/>
    </row>
    <row r="112" ht="15.75" customHeight="1">
      <c r="A112" s="22"/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9"/>
      <c r="M112" s="10"/>
      <c r="N112" s="9"/>
      <c r="O112" s="12"/>
      <c r="Q112" s="9"/>
      <c r="R112" s="9"/>
      <c r="S112" s="9"/>
      <c r="T112" s="9"/>
    </row>
    <row r="113" ht="15.75" customHeight="1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9"/>
      <c r="M113" s="10"/>
      <c r="N113" s="9"/>
      <c r="O113" s="12"/>
      <c r="Q113" s="9"/>
      <c r="R113" s="9"/>
      <c r="S113" s="9"/>
      <c r="T113" s="9"/>
    </row>
    <row r="114" ht="15.75" customHeight="1">
      <c r="A114" s="22"/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9"/>
      <c r="M114" s="10"/>
      <c r="N114" s="9"/>
      <c r="O114" s="12"/>
      <c r="Q114" s="9"/>
      <c r="R114" s="9"/>
      <c r="S114" s="9"/>
      <c r="T114" s="9"/>
    </row>
    <row r="115" ht="15.75" customHeight="1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9"/>
      <c r="M115" s="10"/>
      <c r="N115" s="9"/>
      <c r="O115" s="12"/>
      <c r="Q115" s="9"/>
      <c r="R115" s="9"/>
      <c r="S115" s="9"/>
      <c r="T115" s="9"/>
    </row>
    <row r="116" ht="15.75" customHeight="1">
      <c r="A116" s="22"/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9"/>
      <c r="M116" s="10"/>
      <c r="N116" s="9"/>
      <c r="O116" s="12"/>
      <c r="Q116" s="9"/>
      <c r="R116" s="9"/>
      <c r="S116" s="9"/>
      <c r="T116" s="9"/>
    </row>
    <row r="117" ht="15.75" customHeight="1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9"/>
      <c r="M117" s="10"/>
      <c r="N117" s="9"/>
      <c r="O117" s="12"/>
      <c r="Q117" s="9"/>
      <c r="R117" s="9"/>
      <c r="S117" s="9"/>
      <c r="T117" s="9"/>
    </row>
    <row r="118" ht="15.75" customHeight="1">
      <c r="A118" s="22"/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9"/>
      <c r="M118" s="10"/>
      <c r="N118" s="9"/>
      <c r="O118" s="12"/>
      <c r="Q118" s="9"/>
      <c r="R118" s="9"/>
      <c r="S118" s="9"/>
      <c r="T118" s="9"/>
    </row>
    <row r="119" ht="15.75" customHeight="1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9"/>
      <c r="M119" s="10"/>
      <c r="N119" s="9"/>
      <c r="O119" s="12"/>
      <c r="Q119" s="9"/>
      <c r="R119" s="9"/>
      <c r="S119" s="9"/>
      <c r="T119" s="9"/>
    </row>
    <row r="120" ht="15.75" customHeight="1">
      <c r="A120" s="22"/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9"/>
      <c r="M120" s="10"/>
      <c r="N120" s="9"/>
      <c r="O120" s="12"/>
      <c r="Q120" s="9"/>
      <c r="R120" s="9"/>
      <c r="S120" s="9"/>
      <c r="T120" s="9"/>
    </row>
    <row r="121" ht="15.75" customHeight="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9"/>
      <c r="M121" s="10"/>
      <c r="N121" s="9"/>
      <c r="O121" s="12"/>
      <c r="Q121" s="9"/>
      <c r="R121" s="9"/>
      <c r="S121" s="9"/>
      <c r="T121" s="9"/>
    </row>
    <row r="122" ht="15.75" customHeight="1">
      <c r="A122" s="22"/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9"/>
      <c r="M122" s="10"/>
      <c r="N122" s="9"/>
      <c r="O122" s="12"/>
      <c r="Q122" s="9"/>
      <c r="R122" s="9"/>
      <c r="S122" s="9"/>
      <c r="T122" s="9"/>
    </row>
    <row r="123" ht="15.75" customHeight="1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9"/>
      <c r="M123" s="10"/>
      <c r="N123" s="9"/>
      <c r="O123" s="12"/>
      <c r="Q123" s="9"/>
      <c r="R123" s="9"/>
      <c r="S123" s="9"/>
      <c r="T123" s="9"/>
    </row>
    <row r="124" ht="15.75" customHeight="1">
      <c r="A124" s="22"/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9"/>
      <c r="M124" s="10"/>
      <c r="N124" s="9"/>
      <c r="O124" s="12"/>
      <c r="Q124" s="9"/>
      <c r="R124" s="9"/>
      <c r="S124" s="9"/>
      <c r="T124" s="9"/>
    </row>
    <row r="125" ht="15.75" customHeight="1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9"/>
      <c r="M125" s="10"/>
      <c r="N125" s="9"/>
      <c r="O125" s="12"/>
      <c r="Q125" s="9"/>
      <c r="R125" s="9"/>
      <c r="S125" s="9"/>
      <c r="T125" s="9"/>
    </row>
    <row r="126" ht="15.75" customHeight="1">
      <c r="A126" s="22"/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9"/>
      <c r="M126" s="10"/>
      <c r="N126" s="9"/>
      <c r="O126" s="12"/>
      <c r="Q126" s="9"/>
      <c r="R126" s="9"/>
      <c r="S126" s="9"/>
      <c r="T126" s="9"/>
    </row>
    <row r="127" ht="15.75" customHeight="1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9"/>
      <c r="M127" s="10"/>
      <c r="N127" s="9"/>
      <c r="O127" s="12"/>
      <c r="Q127" s="9"/>
      <c r="R127" s="9"/>
      <c r="S127" s="9"/>
      <c r="T127" s="9"/>
    </row>
    <row r="128" ht="15.75" customHeight="1">
      <c r="A128" s="22"/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9"/>
      <c r="M128" s="10"/>
      <c r="N128" s="9"/>
      <c r="O128" s="12"/>
      <c r="Q128" s="9"/>
      <c r="R128" s="9"/>
      <c r="S128" s="9"/>
      <c r="T128" s="9"/>
    </row>
    <row r="129" ht="15.75" customHeight="1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9"/>
      <c r="M129" s="10"/>
      <c r="N129" s="9"/>
      <c r="O129" s="12"/>
      <c r="Q129" s="9"/>
      <c r="R129" s="9"/>
      <c r="S129" s="9"/>
      <c r="T129" s="9"/>
    </row>
    <row r="130" ht="15.75" customHeight="1">
      <c r="A130" s="22"/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9"/>
      <c r="M130" s="10"/>
      <c r="N130" s="9"/>
      <c r="O130" s="12"/>
      <c r="Q130" s="9"/>
      <c r="R130" s="9"/>
      <c r="S130" s="9"/>
      <c r="T130" s="9"/>
    </row>
    <row r="131" ht="15.75" customHeight="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9"/>
      <c r="M131" s="10"/>
      <c r="N131" s="9"/>
      <c r="O131" s="12"/>
      <c r="Q131" s="9"/>
      <c r="R131" s="9"/>
      <c r="S131" s="9"/>
      <c r="T131" s="9"/>
    </row>
    <row r="132" ht="15.75" customHeight="1">
      <c r="A132" s="22"/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9"/>
      <c r="M132" s="10"/>
      <c r="N132" s="9"/>
      <c r="O132" s="12"/>
      <c r="Q132" s="9"/>
      <c r="R132" s="9"/>
      <c r="S132" s="9"/>
      <c r="T132" s="9"/>
    </row>
    <row r="133" ht="15.75" customHeight="1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9"/>
      <c r="M133" s="10"/>
      <c r="N133" s="9"/>
      <c r="O133" s="12"/>
      <c r="Q133" s="9"/>
      <c r="R133" s="9"/>
      <c r="S133" s="9"/>
      <c r="T133" s="9"/>
    </row>
    <row r="134" ht="15.75" customHeight="1">
      <c r="A134" s="22"/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9"/>
      <c r="M134" s="10"/>
      <c r="N134" s="9"/>
      <c r="O134" s="12"/>
      <c r="Q134" s="9"/>
      <c r="R134" s="9"/>
      <c r="S134" s="9"/>
      <c r="T134" s="9"/>
    </row>
    <row r="135" ht="15.75" customHeight="1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9"/>
      <c r="M135" s="10"/>
      <c r="N135" s="9"/>
      <c r="O135" s="12"/>
      <c r="Q135" s="9"/>
      <c r="R135" s="9"/>
      <c r="S135" s="9"/>
      <c r="T135" s="9"/>
    </row>
    <row r="136" ht="15.75" customHeight="1">
      <c r="A136" s="22"/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9"/>
      <c r="M136" s="10"/>
      <c r="N136" s="9"/>
      <c r="O136" s="12"/>
      <c r="Q136" s="9"/>
      <c r="R136" s="9"/>
      <c r="S136" s="9"/>
      <c r="T136" s="9"/>
    </row>
    <row r="137" ht="15.75" customHeight="1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9"/>
      <c r="M137" s="10"/>
      <c r="N137" s="9"/>
      <c r="O137" s="12"/>
      <c r="Q137" s="9"/>
      <c r="R137" s="9"/>
      <c r="S137" s="9"/>
      <c r="T137" s="9"/>
    </row>
    <row r="138" ht="15.75" customHeight="1">
      <c r="A138" s="22"/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9"/>
      <c r="M138" s="10"/>
      <c r="N138" s="9"/>
      <c r="O138" s="12"/>
      <c r="Q138" s="9"/>
      <c r="R138" s="9"/>
      <c r="S138" s="9"/>
      <c r="T138" s="9"/>
    </row>
    <row r="139" ht="15.75" customHeight="1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9"/>
      <c r="M139" s="10"/>
      <c r="N139" s="9"/>
      <c r="O139" s="12"/>
      <c r="Q139" s="9"/>
      <c r="R139" s="9"/>
      <c r="S139" s="9"/>
      <c r="T139" s="9"/>
    </row>
    <row r="140" ht="15.75" customHeight="1">
      <c r="A140" s="22"/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9"/>
      <c r="M140" s="10"/>
      <c r="N140" s="9"/>
      <c r="O140" s="12"/>
      <c r="Q140" s="9"/>
      <c r="R140" s="9"/>
      <c r="S140" s="9"/>
      <c r="T140" s="9"/>
    </row>
    <row r="141" ht="15.75" customHeight="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9"/>
      <c r="M141" s="10"/>
      <c r="N141" s="9"/>
      <c r="O141" s="12"/>
      <c r="Q141" s="9"/>
      <c r="R141" s="9"/>
      <c r="S141" s="9"/>
      <c r="T141" s="9"/>
    </row>
    <row r="142" ht="15.75" customHeight="1">
      <c r="A142" s="22"/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9"/>
      <c r="M142" s="10"/>
      <c r="N142" s="9"/>
      <c r="O142" s="12"/>
      <c r="Q142" s="9"/>
      <c r="R142" s="9"/>
      <c r="S142" s="9"/>
      <c r="T142" s="9"/>
    </row>
    <row r="143" ht="15.75" customHeight="1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9"/>
      <c r="M143" s="10"/>
      <c r="N143" s="9"/>
      <c r="O143" s="12"/>
      <c r="Q143" s="9"/>
      <c r="R143" s="9"/>
      <c r="S143" s="9"/>
      <c r="T143" s="9"/>
    </row>
    <row r="144" ht="15.75" customHeight="1">
      <c r="A144" s="22"/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9"/>
      <c r="M144" s="10"/>
      <c r="N144" s="9"/>
      <c r="O144" s="12"/>
      <c r="Q144" s="9"/>
      <c r="R144" s="9"/>
      <c r="S144" s="9"/>
      <c r="T144" s="9"/>
    </row>
    <row r="145" ht="15.75" customHeight="1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9"/>
      <c r="M145" s="10"/>
      <c r="N145" s="9"/>
      <c r="O145" s="12"/>
      <c r="Q145" s="9"/>
      <c r="R145" s="9"/>
      <c r="S145" s="9"/>
      <c r="T145" s="9"/>
    </row>
    <row r="146" ht="15.75" customHeight="1">
      <c r="A146" s="22"/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9"/>
      <c r="M146" s="10"/>
      <c r="N146" s="9"/>
      <c r="O146" s="12"/>
      <c r="Q146" s="9"/>
      <c r="R146" s="9"/>
      <c r="S146" s="9"/>
      <c r="T146" s="9"/>
    </row>
    <row r="147" ht="15.75" customHeight="1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9"/>
      <c r="M147" s="10"/>
      <c r="N147" s="9"/>
      <c r="O147" s="12"/>
      <c r="Q147" s="9"/>
      <c r="R147" s="9"/>
      <c r="S147" s="9"/>
      <c r="T147" s="9"/>
    </row>
    <row r="148" ht="15.75" customHeight="1">
      <c r="A148" s="22"/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9"/>
      <c r="M148" s="10"/>
      <c r="N148" s="9"/>
      <c r="O148" s="12"/>
      <c r="Q148" s="9"/>
      <c r="R148" s="9"/>
      <c r="S148" s="9"/>
      <c r="T148" s="9"/>
    </row>
    <row r="149" ht="15.75" customHeight="1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9"/>
      <c r="M149" s="10"/>
      <c r="N149" s="9"/>
      <c r="O149" s="12"/>
      <c r="Q149" s="9"/>
      <c r="R149" s="9"/>
      <c r="S149" s="9"/>
      <c r="T149" s="9"/>
    </row>
    <row r="150" ht="15.75" customHeight="1">
      <c r="A150" s="22"/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9"/>
      <c r="M150" s="10"/>
      <c r="N150" s="9"/>
      <c r="O150" s="12"/>
      <c r="Q150" s="9"/>
      <c r="R150" s="9"/>
      <c r="S150" s="9"/>
      <c r="T150" s="9"/>
    </row>
    <row r="151" ht="15.75" customHeight="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9"/>
      <c r="M151" s="10"/>
      <c r="N151" s="9"/>
      <c r="O151" s="12"/>
      <c r="Q151" s="9"/>
      <c r="R151" s="9"/>
      <c r="S151" s="9"/>
      <c r="T151" s="9"/>
    </row>
    <row r="152" ht="15.75" customHeight="1">
      <c r="A152" s="22"/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9"/>
      <c r="M152" s="10"/>
      <c r="N152" s="9"/>
      <c r="O152" s="12"/>
      <c r="Q152" s="9"/>
      <c r="R152" s="9"/>
      <c r="S152" s="9"/>
      <c r="T152" s="9"/>
    </row>
    <row r="153" ht="15.75" customHeight="1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9"/>
      <c r="M153" s="10"/>
      <c r="N153" s="9"/>
      <c r="O153" s="12"/>
      <c r="Q153" s="9"/>
      <c r="R153" s="9"/>
      <c r="S153" s="9"/>
      <c r="T153" s="9"/>
    </row>
    <row r="154" ht="15.75" customHeight="1">
      <c r="A154" s="22"/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9"/>
      <c r="M154" s="10"/>
      <c r="N154" s="9"/>
      <c r="O154" s="12"/>
      <c r="Q154" s="9"/>
      <c r="R154" s="9"/>
      <c r="S154" s="9"/>
      <c r="T154" s="9"/>
    </row>
    <row r="155" ht="15.75" customHeight="1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9"/>
      <c r="M155" s="10"/>
      <c r="N155" s="9"/>
      <c r="O155" s="12"/>
      <c r="Q155" s="9"/>
      <c r="R155" s="9"/>
      <c r="S155" s="9"/>
      <c r="T155" s="9"/>
    </row>
    <row r="156" ht="15.75" customHeight="1">
      <c r="A156" s="22"/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9"/>
      <c r="M156" s="10"/>
      <c r="N156" s="9"/>
      <c r="O156" s="12"/>
      <c r="Q156" s="9"/>
      <c r="R156" s="9"/>
      <c r="S156" s="9"/>
      <c r="T156" s="9"/>
    </row>
    <row r="157" ht="15.75" customHeight="1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9"/>
      <c r="M157" s="10"/>
      <c r="N157" s="9"/>
      <c r="O157" s="12"/>
      <c r="Q157" s="9"/>
      <c r="R157" s="9"/>
      <c r="S157" s="9"/>
      <c r="T157" s="9"/>
    </row>
    <row r="158" ht="15.75" customHeight="1">
      <c r="A158" s="22"/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9"/>
      <c r="M158" s="10"/>
      <c r="N158" s="9"/>
      <c r="O158" s="12"/>
      <c r="Q158" s="9"/>
      <c r="R158" s="9"/>
      <c r="S158" s="9"/>
      <c r="T158" s="9"/>
    </row>
    <row r="159" ht="15.75" customHeight="1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9"/>
      <c r="M159" s="10"/>
      <c r="N159" s="9"/>
      <c r="O159" s="12"/>
      <c r="Q159" s="9"/>
      <c r="R159" s="9"/>
      <c r="S159" s="9"/>
      <c r="T159" s="9"/>
    </row>
    <row r="160" ht="15.75" customHeight="1">
      <c r="A160" s="22"/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9"/>
      <c r="M160" s="10"/>
      <c r="N160" s="9"/>
      <c r="O160" s="12"/>
      <c r="Q160" s="9"/>
      <c r="R160" s="9"/>
      <c r="S160" s="9"/>
      <c r="T160" s="9"/>
    </row>
    <row r="161" ht="15.75" customHeight="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9"/>
      <c r="M161" s="10"/>
      <c r="N161" s="9"/>
      <c r="O161" s="12"/>
      <c r="Q161" s="9"/>
      <c r="R161" s="9"/>
      <c r="S161" s="9"/>
      <c r="T161" s="9"/>
    </row>
    <row r="162" ht="15.75" customHeight="1">
      <c r="A162" s="22"/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9"/>
      <c r="M162" s="10"/>
      <c r="N162" s="9"/>
      <c r="O162" s="12"/>
      <c r="Q162" s="9"/>
      <c r="R162" s="9"/>
      <c r="S162" s="9"/>
      <c r="T162" s="9"/>
    </row>
    <row r="163" ht="15.75" customHeight="1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9"/>
      <c r="M163" s="10"/>
      <c r="N163" s="9"/>
      <c r="O163" s="12"/>
      <c r="Q163" s="9"/>
      <c r="R163" s="9"/>
      <c r="S163" s="9"/>
      <c r="T163" s="9"/>
    </row>
    <row r="164" ht="15.75" customHeight="1">
      <c r="A164" s="22"/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9"/>
      <c r="M164" s="10"/>
      <c r="N164" s="9"/>
      <c r="O164" s="12"/>
      <c r="Q164" s="9"/>
      <c r="R164" s="9"/>
      <c r="S164" s="9"/>
      <c r="T164" s="9"/>
    </row>
    <row r="165" ht="15.75" customHeight="1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9"/>
      <c r="M165" s="10"/>
      <c r="N165" s="9"/>
      <c r="O165" s="12"/>
      <c r="Q165" s="9"/>
      <c r="R165" s="9"/>
      <c r="S165" s="9"/>
      <c r="T165" s="9"/>
    </row>
    <row r="166" ht="15.75" customHeight="1">
      <c r="A166" s="22"/>
      <c r="B166" s="22"/>
      <c r="C166" s="23"/>
      <c r="D166" s="22"/>
      <c r="E166" s="22"/>
      <c r="F166" s="22"/>
      <c r="G166" s="22"/>
      <c r="H166" s="22"/>
      <c r="I166" s="22"/>
      <c r="J166" s="22"/>
      <c r="K166" s="22"/>
      <c r="L166" s="9"/>
      <c r="M166" s="10"/>
      <c r="N166" s="9"/>
      <c r="O166" s="12"/>
      <c r="Q166" s="9"/>
      <c r="R166" s="9"/>
      <c r="S166" s="9"/>
      <c r="T166" s="9"/>
    </row>
    <row r="167" ht="15.75" customHeight="1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9"/>
      <c r="M167" s="10"/>
      <c r="N167" s="9"/>
      <c r="O167" s="12"/>
      <c r="Q167" s="9"/>
      <c r="R167" s="9"/>
      <c r="S167" s="9"/>
      <c r="T167" s="9"/>
    </row>
    <row r="168" ht="15.75" customHeight="1">
      <c r="A168" s="22"/>
      <c r="B168" s="22"/>
      <c r="C168" s="23"/>
      <c r="D168" s="22"/>
      <c r="E168" s="22"/>
      <c r="F168" s="22"/>
      <c r="G168" s="22"/>
      <c r="H168" s="22"/>
      <c r="I168" s="22"/>
      <c r="J168" s="22"/>
      <c r="K168" s="22"/>
      <c r="L168" s="9"/>
      <c r="M168" s="10"/>
      <c r="N168" s="9"/>
      <c r="O168" s="12"/>
      <c r="Q168" s="9"/>
      <c r="R168" s="9"/>
      <c r="S168" s="9"/>
      <c r="T168" s="9"/>
    </row>
    <row r="169" ht="15.75" customHeight="1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9"/>
      <c r="M169" s="10"/>
      <c r="N169" s="9"/>
      <c r="O169" s="12"/>
      <c r="Q169" s="9"/>
      <c r="R169" s="9"/>
      <c r="S169" s="9"/>
      <c r="T169" s="9"/>
    </row>
    <row r="170" ht="15.75" customHeight="1">
      <c r="A170" s="22"/>
      <c r="B170" s="22"/>
      <c r="C170" s="23"/>
      <c r="D170" s="22"/>
      <c r="E170" s="22"/>
      <c r="F170" s="22"/>
      <c r="G170" s="22"/>
      <c r="H170" s="22"/>
      <c r="I170" s="22"/>
      <c r="J170" s="22"/>
      <c r="K170" s="22"/>
      <c r="L170" s="9"/>
      <c r="M170" s="10"/>
      <c r="N170" s="9"/>
      <c r="O170" s="12"/>
      <c r="Q170" s="9"/>
      <c r="R170" s="9"/>
      <c r="S170" s="9"/>
      <c r="T170" s="9"/>
    </row>
    <row r="171" ht="15.75" customHeight="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9"/>
      <c r="M171" s="10"/>
      <c r="N171" s="9"/>
      <c r="O171" s="12"/>
      <c r="Q171" s="9"/>
      <c r="R171" s="9"/>
      <c r="S171" s="9"/>
      <c r="T171" s="9"/>
    </row>
    <row r="172" ht="15.75" customHeight="1">
      <c r="A172" s="22"/>
      <c r="B172" s="22"/>
      <c r="C172" s="23"/>
      <c r="D172" s="22"/>
      <c r="E172" s="22"/>
      <c r="F172" s="22"/>
      <c r="G172" s="22"/>
      <c r="H172" s="22"/>
      <c r="I172" s="22"/>
      <c r="J172" s="22"/>
      <c r="K172" s="22"/>
      <c r="L172" s="9"/>
      <c r="M172" s="10"/>
      <c r="N172" s="9"/>
      <c r="O172" s="12"/>
      <c r="Q172" s="9"/>
      <c r="R172" s="9"/>
      <c r="S172" s="9"/>
      <c r="T172" s="9"/>
    </row>
    <row r="173" ht="15.75" customHeight="1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9"/>
      <c r="M173" s="10"/>
      <c r="N173" s="9"/>
      <c r="O173" s="12"/>
      <c r="Q173" s="9"/>
      <c r="R173" s="9"/>
      <c r="S173" s="9"/>
      <c r="T173" s="9"/>
    </row>
    <row r="174" ht="15.75" customHeight="1">
      <c r="A174" s="22"/>
      <c r="B174" s="22"/>
      <c r="C174" s="23"/>
      <c r="D174" s="22"/>
      <c r="E174" s="22"/>
      <c r="F174" s="22"/>
      <c r="G174" s="22"/>
      <c r="H174" s="22"/>
      <c r="I174" s="22"/>
      <c r="J174" s="22"/>
      <c r="K174" s="22"/>
      <c r="L174" s="9"/>
      <c r="M174" s="10"/>
      <c r="N174" s="9"/>
      <c r="O174" s="12"/>
      <c r="Q174" s="9"/>
      <c r="R174" s="9"/>
      <c r="S174" s="9"/>
      <c r="T174" s="9"/>
    </row>
    <row r="175" ht="15.75" customHeight="1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9"/>
      <c r="M175" s="10"/>
      <c r="N175" s="9"/>
      <c r="O175" s="12"/>
      <c r="Q175" s="9"/>
      <c r="R175" s="9"/>
      <c r="S175" s="9"/>
      <c r="T175" s="9"/>
    </row>
    <row r="176" ht="15.75" customHeight="1">
      <c r="A176" s="22"/>
      <c r="B176" s="22"/>
      <c r="C176" s="23"/>
      <c r="D176" s="22"/>
      <c r="E176" s="22"/>
      <c r="F176" s="22"/>
      <c r="G176" s="22"/>
      <c r="H176" s="22"/>
      <c r="I176" s="22"/>
      <c r="J176" s="22"/>
      <c r="K176" s="22"/>
      <c r="L176" s="9"/>
      <c r="M176" s="10"/>
      <c r="N176" s="9"/>
      <c r="O176" s="12"/>
      <c r="Q176" s="9"/>
      <c r="R176" s="9"/>
      <c r="S176" s="9"/>
      <c r="T176" s="9"/>
    </row>
    <row r="177" ht="15.75" customHeight="1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9"/>
      <c r="M177" s="10"/>
      <c r="N177" s="9"/>
      <c r="O177" s="12"/>
      <c r="Q177" s="9"/>
      <c r="R177" s="9"/>
      <c r="S177" s="9"/>
      <c r="T177" s="9"/>
    </row>
    <row r="178" ht="15.75" customHeight="1">
      <c r="A178" s="22"/>
      <c r="B178" s="22"/>
      <c r="C178" s="23"/>
      <c r="D178" s="22"/>
      <c r="E178" s="22"/>
      <c r="F178" s="22"/>
      <c r="G178" s="22"/>
      <c r="H178" s="22"/>
      <c r="I178" s="22"/>
      <c r="J178" s="22"/>
      <c r="K178" s="22"/>
      <c r="L178" s="9"/>
      <c r="M178" s="10"/>
      <c r="N178" s="9"/>
      <c r="O178" s="12"/>
      <c r="Q178" s="9"/>
      <c r="R178" s="9"/>
      <c r="S178" s="9"/>
      <c r="T178" s="9"/>
    </row>
    <row r="179" ht="15.75" customHeight="1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9"/>
      <c r="M179" s="10"/>
      <c r="N179" s="9"/>
      <c r="O179" s="12"/>
      <c r="Q179" s="9"/>
      <c r="R179" s="9"/>
      <c r="S179" s="9"/>
      <c r="T179" s="9"/>
    </row>
    <row r="180" ht="15.75" customHeight="1">
      <c r="A180" s="22"/>
      <c r="B180" s="22"/>
      <c r="C180" s="23"/>
      <c r="D180" s="22"/>
      <c r="E180" s="22"/>
      <c r="F180" s="22"/>
      <c r="G180" s="22"/>
      <c r="H180" s="22"/>
      <c r="I180" s="22"/>
      <c r="J180" s="22"/>
      <c r="K180" s="22"/>
      <c r="L180" s="9"/>
      <c r="M180" s="10"/>
      <c r="N180" s="9"/>
      <c r="O180" s="12"/>
      <c r="Q180" s="9"/>
      <c r="R180" s="9"/>
      <c r="S180" s="9"/>
      <c r="T180" s="9"/>
    </row>
    <row r="181" ht="15.75" customHeight="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9"/>
      <c r="M181" s="10"/>
      <c r="N181" s="9"/>
      <c r="O181" s="12"/>
      <c r="Q181" s="9"/>
      <c r="R181" s="9"/>
      <c r="S181" s="9"/>
      <c r="T181" s="9"/>
    </row>
    <row r="182" ht="15.75" customHeight="1">
      <c r="A182" s="22"/>
      <c r="B182" s="22"/>
      <c r="C182" s="23"/>
      <c r="D182" s="22"/>
      <c r="E182" s="22"/>
      <c r="F182" s="22"/>
      <c r="G182" s="22"/>
      <c r="H182" s="22"/>
      <c r="I182" s="22"/>
      <c r="J182" s="22"/>
      <c r="K182" s="22"/>
      <c r="L182" s="9"/>
      <c r="M182" s="10"/>
      <c r="N182" s="9"/>
      <c r="O182" s="12"/>
      <c r="Q182" s="9"/>
      <c r="R182" s="9"/>
      <c r="S182" s="9"/>
      <c r="T182" s="9"/>
    </row>
    <row r="183" ht="15.75" customHeight="1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9"/>
      <c r="M183" s="10"/>
      <c r="N183" s="9"/>
      <c r="O183" s="12"/>
      <c r="Q183" s="9"/>
      <c r="R183" s="9"/>
      <c r="S183" s="9"/>
      <c r="T183" s="9"/>
    </row>
    <row r="184" ht="15.75" customHeight="1">
      <c r="A184" s="22"/>
      <c r="B184" s="22"/>
      <c r="C184" s="23"/>
      <c r="D184" s="22"/>
      <c r="E184" s="22"/>
      <c r="F184" s="22"/>
      <c r="G184" s="22"/>
      <c r="H184" s="22"/>
      <c r="I184" s="22"/>
      <c r="J184" s="22"/>
      <c r="K184" s="22"/>
      <c r="L184" s="9"/>
      <c r="M184" s="10"/>
      <c r="N184" s="9"/>
      <c r="O184" s="12"/>
      <c r="Q184" s="9"/>
      <c r="R184" s="9"/>
      <c r="S184" s="9"/>
      <c r="T184" s="9"/>
    </row>
    <row r="185" ht="15.75" customHeight="1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9"/>
      <c r="M185" s="10"/>
      <c r="N185" s="9"/>
      <c r="O185" s="12"/>
      <c r="Q185" s="9"/>
      <c r="R185" s="9"/>
      <c r="S185" s="9"/>
      <c r="T185" s="9"/>
    </row>
    <row r="186" ht="15.75" customHeight="1">
      <c r="A186" s="22"/>
      <c r="B186" s="22"/>
      <c r="C186" s="23"/>
      <c r="D186" s="22"/>
      <c r="E186" s="22"/>
      <c r="F186" s="22"/>
      <c r="G186" s="22"/>
      <c r="H186" s="22"/>
      <c r="I186" s="22"/>
      <c r="J186" s="22"/>
      <c r="K186" s="22"/>
      <c r="L186" s="9"/>
      <c r="M186" s="10"/>
      <c r="N186" s="9"/>
      <c r="O186" s="12"/>
      <c r="Q186" s="9"/>
      <c r="R186" s="9"/>
      <c r="S186" s="9"/>
      <c r="T186" s="9"/>
    </row>
    <row r="187" ht="15.75" customHeight="1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9"/>
      <c r="M187" s="10"/>
      <c r="N187" s="9"/>
      <c r="O187" s="12"/>
      <c r="Q187" s="9"/>
      <c r="R187" s="9"/>
      <c r="S187" s="9"/>
      <c r="T187" s="9"/>
    </row>
    <row r="188" ht="15.75" customHeight="1">
      <c r="A188" s="22"/>
      <c r="B188" s="22"/>
      <c r="C188" s="23"/>
      <c r="D188" s="22"/>
      <c r="E188" s="22"/>
      <c r="F188" s="22"/>
      <c r="G188" s="22"/>
      <c r="H188" s="22"/>
      <c r="I188" s="22"/>
      <c r="J188" s="22"/>
      <c r="K188" s="22"/>
      <c r="L188" s="9"/>
      <c r="M188" s="10"/>
      <c r="N188" s="9"/>
      <c r="O188" s="12"/>
      <c r="Q188" s="9"/>
      <c r="R188" s="9"/>
      <c r="S188" s="9"/>
      <c r="T188" s="9"/>
    </row>
    <row r="189" ht="15.75" customHeight="1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9"/>
      <c r="M189" s="10"/>
      <c r="N189" s="9"/>
      <c r="O189" s="12"/>
      <c r="Q189" s="9"/>
      <c r="R189" s="9"/>
      <c r="S189" s="9"/>
      <c r="T189" s="9"/>
    </row>
    <row r="190" ht="15.75" customHeight="1">
      <c r="A190" s="22"/>
      <c r="B190" s="22"/>
      <c r="C190" s="23"/>
      <c r="D190" s="22"/>
      <c r="E190" s="22"/>
      <c r="F190" s="22"/>
      <c r="G190" s="22"/>
      <c r="H190" s="22"/>
      <c r="I190" s="22"/>
      <c r="J190" s="22"/>
      <c r="K190" s="22"/>
      <c r="L190" s="9"/>
      <c r="M190" s="10"/>
      <c r="N190" s="9"/>
      <c r="O190" s="12"/>
      <c r="Q190" s="9"/>
      <c r="R190" s="9"/>
      <c r="S190" s="9"/>
      <c r="T190" s="9"/>
    </row>
    <row r="191" ht="15.75" customHeight="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9"/>
      <c r="M191" s="10"/>
      <c r="N191" s="9"/>
      <c r="O191" s="12"/>
      <c r="Q191" s="9"/>
      <c r="R191" s="9"/>
      <c r="S191" s="9"/>
      <c r="T191" s="9"/>
    </row>
    <row r="192" ht="15.75" customHeight="1">
      <c r="A192" s="22"/>
      <c r="B192" s="22"/>
      <c r="C192" s="23"/>
      <c r="D192" s="22"/>
      <c r="E192" s="22"/>
      <c r="F192" s="22"/>
      <c r="G192" s="22"/>
      <c r="H192" s="22"/>
      <c r="I192" s="22"/>
      <c r="J192" s="22"/>
      <c r="K192" s="22"/>
      <c r="L192" s="9"/>
      <c r="M192" s="10"/>
      <c r="N192" s="9"/>
      <c r="O192" s="12"/>
      <c r="Q192" s="9"/>
      <c r="R192" s="9"/>
      <c r="S192" s="9"/>
      <c r="T192" s="9"/>
    </row>
    <row r="193" ht="15.75" customHeight="1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9"/>
      <c r="M193" s="10"/>
      <c r="N193" s="9"/>
      <c r="O193" s="12"/>
      <c r="Q193" s="9"/>
      <c r="R193" s="9"/>
      <c r="S193" s="9"/>
      <c r="T193" s="9"/>
    </row>
    <row r="194" ht="15.75" customHeight="1">
      <c r="A194" s="22"/>
      <c r="B194" s="22"/>
      <c r="C194" s="23"/>
      <c r="D194" s="22"/>
      <c r="E194" s="22"/>
      <c r="F194" s="22"/>
      <c r="G194" s="22"/>
      <c r="H194" s="22"/>
      <c r="I194" s="22"/>
      <c r="J194" s="22"/>
      <c r="K194" s="22"/>
      <c r="L194" s="9"/>
      <c r="M194" s="10"/>
      <c r="N194" s="9"/>
      <c r="O194" s="12"/>
      <c r="Q194" s="9"/>
      <c r="R194" s="9"/>
      <c r="S194" s="9"/>
      <c r="T194" s="9"/>
    </row>
    <row r="195" ht="15.75" customHeight="1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9"/>
      <c r="M195" s="10"/>
      <c r="N195" s="9"/>
      <c r="O195" s="12"/>
      <c r="Q195" s="9"/>
      <c r="R195" s="9"/>
      <c r="S195" s="9"/>
      <c r="T195" s="9"/>
    </row>
    <row r="196" ht="15.75" customHeight="1">
      <c r="A196" s="22"/>
      <c r="B196" s="22"/>
      <c r="C196" s="23"/>
      <c r="D196" s="22"/>
      <c r="E196" s="22"/>
      <c r="F196" s="22"/>
      <c r="G196" s="22"/>
      <c r="H196" s="22"/>
      <c r="I196" s="22"/>
      <c r="J196" s="22"/>
      <c r="K196" s="22"/>
      <c r="L196" s="9"/>
      <c r="M196" s="10"/>
      <c r="N196" s="9"/>
      <c r="O196" s="12"/>
      <c r="Q196" s="9"/>
      <c r="R196" s="9"/>
      <c r="S196" s="9"/>
      <c r="T196" s="9"/>
    </row>
    <row r="197" ht="15.75" customHeight="1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9"/>
      <c r="M197" s="10"/>
      <c r="N197" s="9"/>
      <c r="O197" s="12"/>
      <c r="Q197" s="9"/>
      <c r="R197" s="9"/>
      <c r="S197" s="9"/>
      <c r="T197" s="9"/>
    </row>
    <row r="198" ht="15.75" customHeight="1">
      <c r="A198" s="22"/>
      <c r="B198" s="22"/>
      <c r="C198" s="23"/>
      <c r="D198" s="22"/>
      <c r="E198" s="22"/>
      <c r="F198" s="22"/>
      <c r="G198" s="22"/>
      <c r="H198" s="22"/>
      <c r="I198" s="22"/>
      <c r="J198" s="22"/>
      <c r="K198" s="22"/>
      <c r="L198" s="9"/>
      <c r="M198" s="10"/>
      <c r="N198" s="9"/>
      <c r="O198" s="12"/>
      <c r="Q198" s="9"/>
      <c r="R198" s="9"/>
      <c r="S198" s="9"/>
      <c r="T198" s="9"/>
    </row>
    <row r="199" ht="15.75" customHeight="1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9"/>
      <c r="M199" s="10"/>
      <c r="N199" s="9"/>
      <c r="O199" s="12"/>
      <c r="Q199" s="9"/>
      <c r="R199" s="9"/>
      <c r="S199" s="9"/>
      <c r="T199" s="9"/>
    </row>
    <row r="200" ht="15.75" customHeight="1">
      <c r="A200" s="22"/>
      <c r="B200" s="22"/>
      <c r="C200" s="23"/>
      <c r="D200" s="22"/>
      <c r="E200" s="22"/>
      <c r="F200" s="22"/>
      <c r="G200" s="22"/>
      <c r="H200" s="22"/>
      <c r="I200" s="22"/>
      <c r="J200" s="22"/>
      <c r="K200" s="22"/>
      <c r="L200" s="9"/>
      <c r="M200" s="10"/>
      <c r="N200" s="9"/>
      <c r="O200" s="12"/>
      <c r="Q200" s="9"/>
      <c r="R200" s="9"/>
      <c r="S200" s="9"/>
      <c r="T200" s="9"/>
    </row>
    <row r="201" ht="15.75" customHeight="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9"/>
      <c r="M201" s="10"/>
      <c r="N201" s="9"/>
      <c r="O201" s="12"/>
      <c r="Q201" s="9"/>
      <c r="R201" s="9"/>
      <c r="S201" s="9"/>
      <c r="T201" s="9"/>
    </row>
    <row r="202" ht="15.75" customHeight="1">
      <c r="A202" s="22"/>
      <c r="B202" s="22"/>
      <c r="C202" s="23"/>
      <c r="D202" s="22"/>
      <c r="E202" s="22"/>
      <c r="F202" s="22"/>
      <c r="G202" s="22"/>
      <c r="H202" s="22"/>
      <c r="I202" s="22"/>
      <c r="J202" s="22"/>
      <c r="K202" s="22"/>
      <c r="L202" s="9"/>
      <c r="M202" s="10"/>
      <c r="N202" s="9"/>
      <c r="O202" s="12"/>
      <c r="Q202" s="9"/>
      <c r="R202" s="9"/>
      <c r="S202" s="9"/>
      <c r="T202" s="9"/>
    </row>
    <row r="203" ht="15.75" customHeight="1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9"/>
      <c r="M203" s="10"/>
      <c r="N203" s="9"/>
      <c r="O203" s="12"/>
      <c r="Q203" s="9"/>
      <c r="R203" s="9"/>
      <c r="S203" s="9"/>
      <c r="T203" s="9"/>
    </row>
    <row r="204" ht="15.75" customHeight="1">
      <c r="A204" s="22"/>
      <c r="B204" s="22"/>
      <c r="C204" s="23"/>
      <c r="D204" s="22"/>
      <c r="E204" s="22"/>
      <c r="F204" s="22"/>
      <c r="G204" s="22"/>
      <c r="H204" s="22"/>
      <c r="I204" s="22"/>
      <c r="J204" s="22"/>
      <c r="K204" s="22"/>
      <c r="L204" s="9"/>
      <c r="M204" s="10"/>
      <c r="N204" s="9"/>
      <c r="O204" s="12"/>
      <c r="Q204" s="9"/>
      <c r="R204" s="9"/>
      <c r="S204" s="9"/>
      <c r="T204" s="9"/>
    </row>
    <row r="205" ht="15.75" customHeight="1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9"/>
      <c r="M205" s="10"/>
      <c r="N205" s="9"/>
      <c r="O205" s="12"/>
      <c r="Q205" s="9"/>
      <c r="R205" s="9"/>
      <c r="S205" s="9"/>
      <c r="T205" s="9"/>
    </row>
    <row r="206" ht="15.75" customHeight="1">
      <c r="A206" s="22"/>
      <c r="B206" s="22"/>
      <c r="C206" s="23"/>
      <c r="D206" s="22"/>
      <c r="E206" s="22"/>
      <c r="F206" s="22"/>
      <c r="G206" s="22"/>
      <c r="H206" s="22"/>
      <c r="I206" s="22"/>
      <c r="J206" s="22"/>
      <c r="K206" s="22"/>
      <c r="L206" s="9"/>
      <c r="M206" s="10"/>
      <c r="N206" s="9"/>
      <c r="O206" s="12"/>
      <c r="Q206" s="9"/>
      <c r="R206" s="9"/>
      <c r="S206" s="9"/>
      <c r="T206" s="9"/>
    </row>
    <row r="207" ht="15.75" customHeight="1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9"/>
      <c r="M207" s="10"/>
      <c r="N207" s="9"/>
      <c r="O207" s="12"/>
      <c r="Q207" s="9"/>
      <c r="R207" s="9"/>
      <c r="S207" s="9"/>
      <c r="T207" s="9"/>
    </row>
    <row r="208" ht="15.75" customHeight="1">
      <c r="A208" s="22"/>
      <c r="B208" s="22"/>
      <c r="C208" s="23"/>
      <c r="D208" s="22"/>
      <c r="E208" s="22"/>
      <c r="F208" s="22"/>
      <c r="G208" s="22"/>
      <c r="H208" s="22"/>
      <c r="I208" s="22"/>
      <c r="J208" s="22"/>
      <c r="K208" s="22"/>
      <c r="L208" s="9"/>
      <c r="M208" s="10"/>
      <c r="N208" s="9"/>
      <c r="O208" s="12"/>
      <c r="Q208" s="9"/>
      <c r="R208" s="9"/>
      <c r="S208" s="9"/>
      <c r="T208" s="9"/>
    </row>
    <row r="209" ht="15.75" customHeight="1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9"/>
      <c r="M209" s="10"/>
      <c r="N209" s="9"/>
      <c r="O209" s="12"/>
      <c r="Q209" s="9"/>
      <c r="R209" s="9"/>
      <c r="S209" s="9"/>
      <c r="T209" s="9"/>
    </row>
    <row r="210" ht="15.75" customHeight="1">
      <c r="A210" s="22"/>
      <c r="B210" s="22"/>
      <c r="C210" s="23"/>
      <c r="D210" s="22"/>
      <c r="E210" s="22"/>
      <c r="F210" s="22"/>
      <c r="G210" s="22"/>
      <c r="H210" s="22"/>
      <c r="I210" s="22"/>
      <c r="J210" s="22"/>
      <c r="K210" s="22"/>
      <c r="L210" s="9"/>
      <c r="M210" s="10"/>
      <c r="N210" s="9"/>
      <c r="O210" s="12"/>
      <c r="Q210" s="9"/>
      <c r="R210" s="9"/>
      <c r="S210" s="9"/>
      <c r="T210" s="9"/>
    </row>
    <row r="211" ht="15.75" customHeight="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9"/>
      <c r="M211" s="10"/>
      <c r="N211" s="9"/>
      <c r="O211" s="12"/>
      <c r="Q211" s="9"/>
      <c r="R211" s="9"/>
      <c r="S211" s="9"/>
      <c r="T211" s="9"/>
    </row>
    <row r="212" ht="15.75" customHeight="1">
      <c r="A212" s="22"/>
      <c r="B212" s="22"/>
      <c r="C212" s="23"/>
      <c r="D212" s="22"/>
      <c r="E212" s="22"/>
      <c r="F212" s="22"/>
      <c r="G212" s="22"/>
      <c r="H212" s="22"/>
      <c r="I212" s="22"/>
      <c r="J212" s="22"/>
      <c r="K212" s="22"/>
      <c r="L212" s="9"/>
      <c r="M212" s="10"/>
      <c r="N212" s="9"/>
      <c r="O212" s="12"/>
      <c r="Q212" s="9"/>
      <c r="R212" s="9"/>
      <c r="S212" s="9"/>
      <c r="T212" s="9"/>
    </row>
    <row r="213" ht="15.75" customHeight="1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9"/>
      <c r="M213" s="10"/>
      <c r="N213" s="9"/>
      <c r="O213" s="12"/>
      <c r="Q213" s="9"/>
      <c r="R213" s="9"/>
      <c r="S213" s="9"/>
      <c r="T213" s="9"/>
    </row>
    <row r="214" ht="15.75" customHeight="1">
      <c r="A214" s="22"/>
      <c r="B214" s="22"/>
      <c r="C214" s="23"/>
      <c r="D214" s="22"/>
      <c r="E214" s="22"/>
      <c r="F214" s="22"/>
      <c r="G214" s="22"/>
      <c r="H214" s="22"/>
      <c r="I214" s="22"/>
      <c r="J214" s="22"/>
      <c r="K214" s="22"/>
      <c r="L214" s="9"/>
      <c r="M214" s="10"/>
      <c r="N214" s="9"/>
      <c r="O214" s="12"/>
      <c r="Q214" s="9"/>
      <c r="R214" s="9"/>
      <c r="S214" s="9"/>
      <c r="T214" s="9"/>
    </row>
    <row r="215" ht="15.75" customHeight="1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9"/>
      <c r="M215" s="10"/>
      <c r="N215" s="9"/>
      <c r="O215" s="12"/>
      <c r="Q215" s="9"/>
      <c r="R215" s="9"/>
      <c r="S215" s="9"/>
      <c r="T215" s="9"/>
    </row>
    <row r="216" ht="15.75" customHeight="1">
      <c r="A216" s="22"/>
      <c r="B216" s="22"/>
      <c r="C216" s="23"/>
      <c r="D216" s="22"/>
      <c r="E216" s="22"/>
      <c r="F216" s="22"/>
      <c r="G216" s="22"/>
      <c r="H216" s="22"/>
      <c r="I216" s="22"/>
      <c r="J216" s="22"/>
      <c r="K216" s="22"/>
      <c r="L216" s="9"/>
      <c r="M216" s="10"/>
      <c r="N216" s="9"/>
      <c r="O216" s="12"/>
      <c r="Q216" s="9"/>
      <c r="R216" s="9"/>
      <c r="S216" s="9"/>
      <c r="T216" s="9"/>
    </row>
    <row r="217" ht="15.75" customHeight="1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9"/>
      <c r="M217" s="10"/>
      <c r="N217" s="9"/>
      <c r="O217" s="12"/>
      <c r="Q217" s="9"/>
      <c r="R217" s="9"/>
      <c r="S217" s="9"/>
      <c r="T217" s="9"/>
    </row>
    <row r="218" ht="15.75" customHeight="1">
      <c r="A218" s="22"/>
      <c r="B218" s="22"/>
      <c r="C218" s="23"/>
      <c r="D218" s="22"/>
      <c r="E218" s="22"/>
      <c r="F218" s="22"/>
      <c r="G218" s="22"/>
      <c r="H218" s="22"/>
      <c r="I218" s="22"/>
      <c r="J218" s="22"/>
      <c r="K218" s="22"/>
      <c r="L218" s="9"/>
      <c r="M218" s="10"/>
      <c r="N218" s="9"/>
      <c r="O218" s="12"/>
      <c r="Q218" s="9"/>
      <c r="R218" s="9"/>
      <c r="S218" s="9"/>
      <c r="T218" s="9"/>
    </row>
    <row r="219" ht="15.75" customHeight="1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9"/>
      <c r="M219" s="10"/>
      <c r="N219" s="9"/>
      <c r="O219" s="12"/>
      <c r="Q219" s="9"/>
      <c r="R219" s="9"/>
      <c r="S219" s="9"/>
      <c r="T219" s="9"/>
    </row>
    <row r="220" ht="15.75" customHeight="1">
      <c r="A220" s="22"/>
      <c r="B220" s="22"/>
      <c r="C220" s="23"/>
      <c r="D220" s="22"/>
      <c r="E220" s="22"/>
      <c r="F220" s="22"/>
      <c r="G220" s="22"/>
      <c r="H220" s="22"/>
      <c r="I220" s="22"/>
      <c r="J220" s="22"/>
      <c r="K220" s="22"/>
      <c r="L220" s="9"/>
      <c r="M220" s="10"/>
      <c r="N220" s="9"/>
      <c r="O220" s="12"/>
      <c r="Q220" s="9"/>
      <c r="R220" s="9"/>
      <c r="S220" s="9"/>
      <c r="T220" s="9"/>
    </row>
    <row r="221" ht="15.75" customHeight="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9"/>
      <c r="M221" s="10"/>
      <c r="N221" s="9"/>
      <c r="O221" s="12"/>
      <c r="Q221" s="9"/>
      <c r="R221" s="9"/>
      <c r="S221" s="9"/>
      <c r="T221" s="9"/>
    </row>
    <row r="222" ht="15.75" customHeight="1">
      <c r="A222" s="22"/>
      <c r="B222" s="22"/>
      <c r="C222" s="23"/>
      <c r="D222" s="22"/>
      <c r="E222" s="22"/>
      <c r="F222" s="22"/>
      <c r="G222" s="22"/>
      <c r="H222" s="22"/>
      <c r="I222" s="22"/>
      <c r="J222" s="22"/>
      <c r="K222" s="22"/>
      <c r="L222" s="9"/>
      <c r="M222" s="10"/>
      <c r="N222" s="9"/>
      <c r="O222" s="12"/>
      <c r="Q222" s="9"/>
      <c r="R222" s="9"/>
      <c r="S222" s="9"/>
      <c r="T222" s="9"/>
    </row>
    <row r="223" ht="15.75" customHeight="1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9"/>
      <c r="M223" s="10"/>
      <c r="N223" s="9"/>
      <c r="O223" s="12"/>
      <c r="Q223" s="9"/>
      <c r="R223" s="9"/>
      <c r="S223" s="9"/>
      <c r="T223" s="9"/>
    </row>
    <row r="224" ht="15.75" customHeight="1">
      <c r="A224" s="22"/>
      <c r="B224" s="22"/>
      <c r="C224" s="23"/>
      <c r="D224" s="22"/>
      <c r="E224" s="22"/>
      <c r="F224" s="22"/>
      <c r="G224" s="22"/>
      <c r="H224" s="22"/>
      <c r="I224" s="22"/>
      <c r="J224" s="22"/>
      <c r="K224" s="22"/>
      <c r="L224" s="9"/>
      <c r="M224" s="10"/>
      <c r="N224" s="9"/>
      <c r="O224" s="12"/>
      <c r="Q224" s="9"/>
      <c r="R224" s="9"/>
      <c r="S224" s="9"/>
      <c r="T224" s="9"/>
    </row>
    <row r="225" ht="15.75" customHeight="1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9"/>
      <c r="M225" s="10"/>
      <c r="N225" s="9"/>
      <c r="O225" s="12"/>
      <c r="Q225" s="9"/>
      <c r="R225" s="9"/>
      <c r="S225" s="9"/>
      <c r="T225" s="9"/>
    </row>
    <row r="226" ht="15.75" customHeight="1">
      <c r="A226" s="22"/>
      <c r="B226" s="22"/>
      <c r="C226" s="23"/>
      <c r="D226" s="22"/>
      <c r="E226" s="22"/>
      <c r="F226" s="22"/>
      <c r="G226" s="22"/>
      <c r="H226" s="22"/>
      <c r="I226" s="22"/>
      <c r="J226" s="22"/>
      <c r="K226" s="22"/>
      <c r="L226" s="9"/>
      <c r="M226" s="10"/>
      <c r="N226" s="9"/>
      <c r="O226" s="12"/>
      <c r="Q226" s="9"/>
      <c r="R226" s="9"/>
      <c r="S226" s="9"/>
      <c r="T226" s="9"/>
    </row>
    <row r="227" ht="15.75" customHeight="1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9"/>
      <c r="M227" s="10"/>
      <c r="N227" s="9"/>
      <c r="O227" s="12"/>
      <c r="Q227" s="9"/>
      <c r="R227" s="9"/>
      <c r="S227" s="9"/>
      <c r="T227" s="9"/>
    </row>
    <row r="228" ht="15.75" customHeight="1">
      <c r="A228" s="22"/>
      <c r="B228" s="22"/>
      <c r="C228" s="23"/>
      <c r="D228" s="22"/>
      <c r="E228" s="22"/>
      <c r="F228" s="22"/>
      <c r="G228" s="22"/>
      <c r="H228" s="22"/>
      <c r="I228" s="22"/>
      <c r="J228" s="22"/>
      <c r="K228" s="22"/>
      <c r="L228" s="9"/>
      <c r="M228" s="10"/>
      <c r="N228" s="9"/>
      <c r="O228" s="12"/>
      <c r="Q228" s="9"/>
      <c r="R228" s="9"/>
      <c r="S228" s="9"/>
      <c r="T228" s="9"/>
    </row>
    <row r="229" ht="15.75" customHeight="1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9"/>
      <c r="M229" s="10"/>
      <c r="N229" s="9"/>
      <c r="O229" s="12"/>
      <c r="Q229" s="9"/>
      <c r="R229" s="9"/>
      <c r="S229" s="9"/>
      <c r="T229" s="9"/>
    </row>
    <row r="230" ht="15.75" customHeight="1">
      <c r="A230" s="22"/>
      <c r="B230" s="22"/>
      <c r="C230" s="23"/>
      <c r="D230" s="22"/>
      <c r="E230" s="22"/>
      <c r="F230" s="22"/>
      <c r="G230" s="22"/>
      <c r="H230" s="22"/>
      <c r="I230" s="22"/>
      <c r="J230" s="22"/>
      <c r="K230" s="22"/>
      <c r="L230" s="9"/>
      <c r="M230" s="10"/>
      <c r="N230" s="9"/>
      <c r="O230" s="12"/>
      <c r="Q230" s="9"/>
      <c r="R230" s="9"/>
      <c r="S230" s="9"/>
      <c r="T230" s="9"/>
    </row>
    <row r="231" ht="15.75" customHeight="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9"/>
      <c r="M231" s="10"/>
      <c r="N231" s="9"/>
      <c r="O231" s="12"/>
      <c r="Q231" s="9"/>
      <c r="R231" s="9"/>
      <c r="S231" s="9"/>
      <c r="T231" s="9"/>
    </row>
    <row r="232" ht="15.75" customHeight="1">
      <c r="A232" s="22"/>
      <c r="B232" s="22"/>
      <c r="C232" s="23"/>
      <c r="D232" s="22"/>
      <c r="E232" s="22"/>
      <c r="F232" s="22"/>
      <c r="G232" s="22"/>
      <c r="H232" s="22"/>
      <c r="I232" s="22"/>
      <c r="J232" s="22"/>
      <c r="K232" s="22"/>
      <c r="L232" s="9"/>
      <c r="M232" s="10"/>
      <c r="N232" s="9"/>
      <c r="O232" s="12"/>
      <c r="Q232" s="9"/>
      <c r="R232" s="9"/>
      <c r="S232" s="9"/>
      <c r="T232" s="9"/>
    </row>
    <row r="233" ht="15.75" customHeight="1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9"/>
      <c r="M233" s="10"/>
      <c r="N233" s="9"/>
      <c r="O233" s="12"/>
      <c r="Q233" s="9"/>
      <c r="R233" s="9"/>
      <c r="S233" s="9"/>
      <c r="T233" s="9"/>
    </row>
    <row r="234" ht="15.75" customHeight="1">
      <c r="A234" s="22"/>
      <c r="B234" s="22"/>
      <c r="C234" s="23"/>
      <c r="D234" s="22"/>
      <c r="E234" s="22"/>
      <c r="F234" s="22"/>
      <c r="G234" s="22"/>
      <c r="H234" s="22"/>
      <c r="I234" s="22"/>
      <c r="J234" s="22"/>
      <c r="K234" s="22"/>
      <c r="L234" s="9"/>
      <c r="M234" s="10"/>
      <c r="N234" s="9"/>
      <c r="O234" s="12"/>
      <c r="Q234" s="9"/>
      <c r="R234" s="9"/>
      <c r="S234" s="9"/>
      <c r="T234" s="9"/>
    </row>
    <row r="235" ht="15.75" customHeight="1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9"/>
      <c r="M235" s="10"/>
      <c r="N235" s="9"/>
      <c r="O235" s="12"/>
      <c r="Q235" s="9"/>
      <c r="R235" s="9"/>
      <c r="S235" s="9"/>
      <c r="T235" s="9"/>
    </row>
    <row r="236" ht="15.75" customHeight="1">
      <c r="A236" s="22"/>
      <c r="B236" s="22"/>
      <c r="C236" s="23"/>
      <c r="D236" s="22"/>
      <c r="E236" s="22"/>
      <c r="F236" s="22"/>
      <c r="G236" s="22"/>
      <c r="H236" s="22"/>
      <c r="I236" s="22"/>
      <c r="J236" s="22"/>
      <c r="K236" s="22"/>
      <c r="L236" s="9"/>
      <c r="M236" s="10"/>
      <c r="N236" s="9"/>
      <c r="O236" s="12"/>
      <c r="Q236" s="9"/>
      <c r="R236" s="9"/>
      <c r="S236" s="9"/>
      <c r="T236" s="9"/>
    </row>
    <row r="237" ht="15.75" customHeight="1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9"/>
      <c r="M237" s="10"/>
      <c r="N237" s="9"/>
      <c r="O237" s="12"/>
      <c r="Q237" s="9"/>
      <c r="R237" s="9"/>
      <c r="S237" s="9"/>
      <c r="T237" s="9"/>
    </row>
    <row r="238" ht="15.75" customHeight="1">
      <c r="A238" s="22"/>
      <c r="B238" s="22"/>
      <c r="C238" s="23"/>
      <c r="D238" s="22"/>
      <c r="E238" s="22"/>
      <c r="F238" s="22"/>
      <c r="G238" s="22"/>
      <c r="H238" s="22"/>
      <c r="I238" s="22"/>
      <c r="J238" s="22"/>
      <c r="K238" s="22"/>
      <c r="L238" s="9"/>
      <c r="M238" s="10"/>
      <c r="N238" s="9"/>
      <c r="O238" s="12"/>
      <c r="Q238" s="9"/>
      <c r="R238" s="9"/>
      <c r="S238" s="9"/>
      <c r="T238" s="9"/>
    </row>
    <row r="239" ht="15.75" customHeight="1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9"/>
      <c r="M239" s="10"/>
      <c r="N239" s="9"/>
      <c r="O239" s="12"/>
      <c r="Q239" s="9"/>
      <c r="R239" s="9"/>
      <c r="S239" s="9"/>
      <c r="T239" s="9"/>
    </row>
    <row r="240" ht="15.75" customHeight="1">
      <c r="A240" s="22"/>
      <c r="B240" s="22"/>
      <c r="C240" s="23"/>
      <c r="D240" s="22"/>
      <c r="E240" s="22"/>
      <c r="F240" s="22"/>
      <c r="G240" s="22"/>
      <c r="H240" s="22"/>
      <c r="I240" s="22"/>
      <c r="J240" s="22"/>
      <c r="K240" s="22"/>
      <c r="L240" s="9"/>
      <c r="M240" s="10"/>
      <c r="N240" s="9"/>
      <c r="O240" s="12"/>
      <c r="Q240" s="9"/>
      <c r="R240" s="9"/>
      <c r="S240" s="9"/>
      <c r="T240" s="9"/>
    </row>
    <row r="241" ht="15.75" customHeight="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9"/>
      <c r="M241" s="10"/>
      <c r="N241" s="9"/>
      <c r="O241" s="12"/>
      <c r="Q241" s="9"/>
      <c r="R241" s="9"/>
      <c r="S241" s="9"/>
      <c r="T241" s="9"/>
    </row>
    <row r="242" ht="15.75" customHeight="1">
      <c r="A242" s="22"/>
      <c r="B242" s="22"/>
      <c r="C242" s="23"/>
      <c r="D242" s="22"/>
      <c r="E242" s="22"/>
      <c r="F242" s="22"/>
      <c r="G242" s="22"/>
      <c r="H242" s="22"/>
      <c r="I242" s="22"/>
      <c r="J242" s="22"/>
      <c r="K242" s="22"/>
      <c r="L242" s="9"/>
      <c r="M242" s="10"/>
      <c r="N242" s="9"/>
      <c r="O242" s="12"/>
      <c r="Q242" s="9"/>
      <c r="R242" s="9"/>
      <c r="S242" s="9"/>
      <c r="T242" s="9"/>
    </row>
    <row r="243" ht="15.75" customHeight="1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9"/>
      <c r="M243" s="10"/>
      <c r="N243" s="9"/>
      <c r="O243" s="12"/>
      <c r="Q243" s="9"/>
      <c r="R243" s="9"/>
      <c r="S243" s="9"/>
      <c r="T243" s="9"/>
    </row>
    <row r="244" ht="15.75" customHeight="1">
      <c r="A244" s="22"/>
      <c r="B244" s="22"/>
      <c r="C244" s="23"/>
      <c r="D244" s="22"/>
      <c r="E244" s="22"/>
      <c r="F244" s="22"/>
      <c r="G244" s="22"/>
      <c r="H244" s="22"/>
      <c r="I244" s="22"/>
      <c r="J244" s="22"/>
      <c r="K244" s="22"/>
      <c r="L244" s="9"/>
      <c r="M244" s="10"/>
      <c r="N244" s="9"/>
      <c r="O244" s="12"/>
      <c r="Q244" s="9"/>
      <c r="R244" s="9"/>
      <c r="S244" s="9"/>
      <c r="T244" s="9"/>
    </row>
    <row r="245" ht="15.75" customHeight="1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9"/>
      <c r="M245" s="10"/>
      <c r="N245" s="9"/>
      <c r="O245" s="12"/>
      <c r="Q245" s="9"/>
      <c r="R245" s="9"/>
      <c r="S245" s="9"/>
      <c r="T245" s="9"/>
    </row>
    <row r="246" ht="15.75" customHeight="1">
      <c r="A246" s="22"/>
      <c r="B246" s="22"/>
      <c r="C246" s="23"/>
      <c r="D246" s="22"/>
      <c r="E246" s="22"/>
      <c r="F246" s="22"/>
      <c r="G246" s="22"/>
      <c r="H246" s="22"/>
      <c r="I246" s="22"/>
      <c r="J246" s="22"/>
      <c r="K246" s="22"/>
      <c r="L246" s="9"/>
      <c r="M246" s="10"/>
      <c r="N246" s="9"/>
      <c r="O246" s="12"/>
      <c r="Q246" s="9"/>
      <c r="R246" s="9"/>
      <c r="S246" s="9"/>
      <c r="T246" s="9"/>
    </row>
    <row r="247" ht="15.75" customHeight="1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9"/>
      <c r="M247" s="10"/>
      <c r="N247" s="9"/>
      <c r="O247" s="12"/>
      <c r="Q247" s="9"/>
      <c r="R247" s="9"/>
      <c r="S247" s="9"/>
      <c r="T247" s="9"/>
    </row>
    <row r="248" ht="15.75" customHeight="1">
      <c r="A248" s="22"/>
      <c r="B248" s="22"/>
      <c r="C248" s="23"/>
      <c r="D248" s="22"/>
      <c r="E248" s="22"/>
      <c r="F248" s="22"/>
      <c r="G248" s="22"/>
      <c r="H248" s="22"/>
      <c r="I248" s="22"/>
      <c r="J248" s="22"/>
      <c r="K248" s="22"/>
      <c r="L248" s="9"/>
      <c r="M248" s="10"/>
      <c r="N248" s="9"/>
      <c r="O248" s="12"/>
      <c r="Q248" s="9"/>
      <c r="R248" s="9"/>
      <c r="S248" s="9"/>
      <c r="T248" s="9"/>
    </row>
    <row r="249" ht="15.75" customHeight="1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9"/>
      <c r="M249" s="10"/>
      <c r="N249" s="9"/>
      <c r="O249" s="12"/>
      <c r="Q249" s="9"/>
      <c r="R249" s="9"/>
      <c r="S249" s="9"/>
      <c r="T249" s="9"/>
    </row>
    <row r="250" ht="15.75" customHeight="1">
      <c r="A250" s="22"/>
      <c r="B250" s="22"/>
      <c r="C250" s="23"/>
      <c r="D250" s="22"/>
      <c r="E250" s="22"/>
      <c r="F250" s="22"/>
      <c r="G250" s="22"/>
      <c r="H250" s="22"/>
      <c r="I250" s="22"/>
      <c r="J250" s="22"/>
      <c r="K250" s="22"/>
      <c r="L250" s="9"/>
      <c r="M250" s="10"/>
      <c r="N250" s="9"/>
      <c r="O250" s="12"/>
      <c r="Q250" s="9"/>
      <c r="R250" s="9"/>
      <c r="S250" s="9"/>
      <c r="T250" s="9"/>
    </row>
    <row r="251" ht="15.75" customHeight="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9"/>
      <c r="M251" s="10"/>
      <c r="N251" s="9"/>
      <c r="O251" s="12"/>
      <c r="Q251" s="9"/>
      <c r="R251" s="9"/>
      <c r="S251" s="9"/>
      <c r="T251" s="9"/>
    </row>
    <row r="252" ht="15.75" customHeight="1">
      <c r="A252" s="22"/>
      <c r="B252" s="22"/>
      <c r="C252" s="23"/>
      <c r="D252" s="22"/>
      <c r="E252" s="22"/>
      <c r="F252" s="22"/>
      <c r="G252" s="22"/>
      <c r="H252" s="22"/>
      <c r="I252" s="22"/>
      <c r="J252" s="22"/>
      <c r="K252" s="22"/>
      <c r="L252" s="9"/>
      <c r="M252" s="10"/>
      <c r="N252" s="9"/>
      <c r="O252" s="12"/>
      <c r="Q252" s="9"/>
      <c r="R252" s="9"/>
      <c r="S252" s="9"/>
      <c r="T252" s="9"/>
    </row>
    <row r="253" ht="15.75" customHeight="1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9"/>
      <c r="M253" s="10"/>
      <c r="N253" s="9"/>
      <c r="O253" s="12"/>
      <c r="Q253" s="9"/>
      <c r="R253" s="9"/>
      <c r="S253" s="9"/>
      <c r="T253" s="9"/>
    </row>
    <row r="254" ht="15.75" customHeight="1">
      <c r="A254" s="22"/>
      <c r="B254" s="22"/>
      <c r="C254" s="23"/>
      <c r="D254" s="22"/>
      <c r="E254" s="22"/>
      <c r="F254" s="22"/>
      <c r="G254" s="22"/>
      <c r="H254" s="22"/>
      <c r="I254" s="22"/>
      <c r="J254" s="22"/>
      <c r="K254" s="22"/>
      <c r="L254" s="9"/>
      <c r="M254" s="10"/>
      <c r="N254" s="9"/>
      <c r="O254" s="12"/>
      <c r="Q254" s="9"/>
      <c r="R254" s="9"/>
      <c r="S254" s="9"/>
      <c r="T254" s="9"/>
    </row>
    <row r="255" ht="15.75" customHeight="1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9"/>
      <c r="M255" s="10"/>
      <c r="N255" s="9"/>
      <c r="O255" s="12"/>
      <c r="Q255" s="9"/>
      <c r="R255" s="9"/>
      <c r="S255" s="9"/>
      <c r="T255" s="9"/>
    </row>
    <row r="256" ht="15.75" customHeight="1">
      <c r="A256" s="22"/>
      <c r="B256" s="22"/>
      <c r="C256" s="23"/>
      <c r="D256" s="22"/>
      <c r="E256" s="22"/>
      <c r="F256" s="22"/>
      <c r="G256" s="22"/>
      <c r="H256" s="22"/>
      <c r="I256" s="22"/>
      <c r="J256" s="22"/>
      <c r="K256" s="22"/>
      <c r="L256" s="9"/>
      <c r="M256" s="10"/>
      <c r="N256" s="9"/>
      <c r="O256" s="12"/>
      <c r="Q256" s="9"/>
      <c r="R256" s="9"/>
      <c r="S256" s="9"/>
      <c r="T256" s="9"/>
    </row>
    <row r="257" ht="15.75" customHeight="1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9"/>
      <c r="M257" s="10"/>
      <c r="N257" s="9"/>
      <c r="O257" s="12"/>
      <c r="Q257" s="9"/>
      <c r="R257" s="9"/>
      <c r="S257" s="9"/>
      <c r="T257" s="9"/>
    </row>
    <row r="258" ht="15.75" customHeight="1">
      <c r="A258" s="22"/>
      <c r="B258" s="22"/>
      <c r="C258" s="23"/>
      <c r="D258" s="22"/>
      <c r="E258" s="22"/>
      <c r="F258" s="22"/>
      <c r="G258" s="22"/>
      <c r="H258" s="22"/>
      <c r="I258" s="22"/>
      <c r="J258" s="22"/>
      <c r="K258" s="22"/>
      <c r="L258" s="9"/>
      <c r="M258" s="10"/>
      <c r="N258" s="9"/>
      <c r="O258" s="12"/>
      <c r="Q258" s="9"/>
      <c r="R258" s="9"/>
      <c r="S258" s="9"/>
      <c r="T258" s="9"/>
    </row>
    <row r="259" ht="15.75" customHeight="1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9"/>
      <c r="M259" s="10"/>
      <c r="N259" s="9"/>
      <c r="O259" s="12"/>
      <c r="Q259" s="9"/>
      <c r="R259" s="9"/>
      <c r="S259" s="9"/>
      <c r="T259" s="9"/>
    </row>
    <row r="260" ht="15.75" customHeight="1">
      <c r="A260" s="22"/>
      <c r="B260" s="22"/>
      <c r="C260" s="23"/>
      <c r="D260" s="22"/>
      <c r="E260" s="22"/>
      <c r="F260" s="22"/>
      <c r="G260" s="22"/>
      <c r="H260" s="22"/>
      <c r="I260" s="22"/>
      <c r="J260" s="22"/>
      <c r="K260" s="22"/>
      <c r="L260" s="9"/>
      <c r="M260" s="10"/>
      <c r="N260" s="9"/>
      <c r="O260" s="12"/>
      <c r="Q260" s="9"/>
      <c r="R260" s="9"/>
      <c r="S260" s="9"/>
      <c r="T260" s="9"/>
    </row>
    <row r="261" ht="15.75" customHeight="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9"/>
      <c r="M261" s="10"/>
      <c r="N261" s="9"/>
      <c r="O261" s="12"/>
      <c r="Q261" s="9"/>
      <c r="R261" s="9"/>
      <c r="S261" s="9"/>
      <c r="T261" s="9"/>
    </row>
    <row r="262" ht="15.75" customHeight="1">
      <c r="A262" s="22"/>
      <c r="B262" s="22"/>
      <c r="C262" s="23"/>
      <c r="D262" s="22"/>
      <c r="E262" s="22"/>
      <c r="F262" s="22"/>
      <c r="G262" s="22"/>
      <c r="H262" s="22"/>
      <c r="I262" s="22"/>
      <c r="J262" s="22"/>
      <c r="K262" s="22"/>
      <c r="L262" s="9"/>
      <c r="M262" s="10"/>
      <c r="N262" s="9"/>
      <c r="O262" s="12"/>
      <c r="Q262" s="9"/>
      <c r="R262" s="9"/>
      <c r="S262" s="9"/>
      <c r="T262" s="9"/>
    </row>
    <row r="263" ht="15.75" customHeight="1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9"/>
      <c r="M263" s="10"/>
      <c r="N263" s="9"/>
      <c r="O263" s="12"/>
      <c r="Q263" s="9"/>
      <c r="R263" s="9"/>
      <c r="S263" s="9"/>
      <c r="T263" s="9"/>
    </row>
    <row r="264" ht="15.75" customHeight="1">
      <c r="A264" s="22"/>
      <c r="B264" s="22"/>
      <c r="C264" s="23"/>
      <c r="D264" s="22"/>
      <c r="E264" s="22"/>
      <c r="F264" s="22"/>
      <c r="G264" s="22"/>
      <c r="H264" s="22"/>
      <c r="I264" s="22"/>
      <c r="J264" s="22"/>
      <c r="K264" s="22"/>
      <c r="L264" s="9"/>
      <c r="M264" s="10"/>
      <c r="N264" s="9"/>
      <c r="O264" s="12"/>
      <c r="Q264" s="9"/>
      <c r="R264" s="9"/>
      <c r="S264" s="9"/>
      <c r="T264" s="9"/>
    </row>
    <row r="265" ht="15.75" customHeight="1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9"/>
      <c r="M265" s="10"/>
      <c r="N265" s="9"/>
      <c r="O265" s="12"/>
      <c r="Q265" s="9"/>
      <c r="R265" s="9"/>
      <c r="S265" s="9"/>
      <c r="T265" s="9"/>
    </row>
    <row r="266" ht="15.75" customHeight="1">
      <c r="A266" s="22"/>
      <c r="B266" s="22"/>
      <c r="C266" s="23"/>
      <c r="D266" s="22"/>
      <c r="E266" s="22"/>
      <c r="F266" s="22"/>
      <c r="G266" s="22"/>
      <c r="H266" s="22"/>
      <c r="I266" s="22"/>
      <c r="J266" s="22"/>
      <c r="K266" s="22"/>
      <c r="L266" s="9"/>
      <c r="M266" s="10"/>
      <c r="N266" s="9"/>
      <c r="O266" s="12"/>
      <c r="Q266" s="9"/>
      <c r="R266" s="9"/>
      <c r="S266" s="9"/>
      <c r="T266" s="9"/>
    </row>
    <row r="267" ht="15.75" customHeight="1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9"/>
      <c r="M267" s="10"/>
      <c r="N267" s="9"/>
      <c r="O267" s="12"/>
      <c r="Q267" s="9"/>
      <c r="R267" s="9"/>
      <c r="S267" s="9"/>
      <c r="T267" s="9"/>
    </row>
    <row r="268" ht="15.75" customHeight="1">
      <c r="A268" s="22"/>
      <c r="B268" s="22"/>
      <c r="C268" s="23"/>
      <c r="D268" s="22"/>
      <c r="E268" s="22"/>
      <c r="F268" s="22"/>
      <c r="G268" s="22"/>
      <c r="H268" s="22"/>
      <c r="I268" s="22"/>
      <c r="J268" s="22"/>
      <c r="K268" s="22"/>
      <c r="L268" s="9"/>
      <c r="M268" s="10"/>
      <c r="N268" s="9"/>
      <c r="O268" s="12"/>
      <c r="Q268" s="9"/>
      <c r="R268" s="9"/>
      <c r="S268" s="9"/>
      <c r="T268" s="9"/>
    </row>
    <row r="269" ht="15.75" customHeight="1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9"/>
      <c r="M269" s="10"/>
      <c r="N269" s="9"/>
      <c r="O269" s="12"/>
      <c r="Q269" s="9"/>
      <c r="R269" s="9"/>
      <c r="S269" s="9"/>
      <c r="T269" s="9"/>
    </row>
    <row r="270" ht="15.75" customHeight="1">
      <c r="A270" s="22"/>
      <c r="B270" s="22"/>
      <c r="C270" s="23"/>
      <c r="D270" s="22"/>
      <c r="E270" s="22"/>
      <c r="F270" s="22"/>
      <c r="G270" s="22"/>
      <c r="H270" s="22"/>
      <c r="I270" s="22"/>
      <c r="J270" s="22"/>
      <c r="K270" s="22"/>
      <c r="L270" s="9"/>
      <c r="M270" s="10"/>
      <c r="N270" s="9"/>
      <c r="O270" s="12"/>
      <c r="Q270" s="9"/>
      <c r="R270" s="9"/>
      <c r="S270" s="9"/>
      <c r="T270" s="9"/>
    </row>
    <row r="271" ht="15.75" customHeight="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9"/>
      <c r="M271" s="10"/>
      <c r="N271" s="9"/>
      <c r="O271" s="12"/>
      <c r="Q271" s="9"/>
      <c r="R271" s="9"/>
      <c r="S271" s="9"/>
      <c r="T271" s="9"/>
    </row>
    <row r="272" ht="15.75" customHeight="1">
      <c r="A272" s="22"/>
      <c r="B272" s="22"/>
      <c r="C272" s="23"/>
      <c r="D272" s="22"/>
      <c r="E272" s="22"/>
      <c r="F272" s="22"/>
      <c r="G272" s="22"/>
      <c r="H272" s="22"/>
      <c r="I272" s="22"/>
      <c r="J272" s="22"/>
      <c r="K272" s="22"/>
      <c r="L272" s="9"/>
      <c r="M272" s="10"/>
      <c r="N272" s="9"/>
      <c r="O272" s="12"/>
      <c r="Q272" s="9"/>
      <c r="R272" s="9"/>
      <c r="S272" s="9"/>
      <c r="T272" s="9"/>
    </row>
    <row r="273" ht="15.75" customHeight="1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9"/>
      <c r="M273" s="10"/>
      <c r="N273" s="9"/>
      <c r="O273" s="12"/>
      <c r="Q273" s="9"/>
      <c r="R273" s="9"/>
      <c r="S273" s="9"/>
      <c r="T273" s="9"/>
    </row>
    <row r="274" ht="15.75" customHeight="1">
      <c r="A274" s="22"/>
      <c r="B274" s="22"/>
      <c r="C274" s="23"/>
      <c r="D274" s="22"/>
      <c r="E274" s="22"/>
      <c r="F274" s="22"/>
      <c r="G274" s="22"/>
      <c r="H274" s="22"/>
      <c r="I274" s="22"/>
      <c r="J274" s="22"/>
      <c r="K274" s="22"/>
      <c r="L274" s="9"/>
      <c r="M274" s="10"/>
      <c r="N274" s="9"/>
      <c r="O274" s="12"/>
      <c r="Q274" s="9"/>
      <c r="R274" s="9"/>
      <c r="S274" s="9"/>
      <c r="T274" s="9"/>
    </row>
    <row r="275" ht="15.75" customHeight="1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9"/>
      <c r="M275" s="10"/>
      <c r="N275" s="9"/>
      <c r="O275" s="12"/>
      <c r="Q275" s="9"/>
      <c r="R275" s="9"/>
      <c r="S275" s="9"/>
      <c r="T275" s="9"/>
    </row>
    <row r="276" ht="15.75" customHeight="1">
      <c r="A276" s="22"/>
      <c r="B276" s="22"/>
      <c r="C276" s="23"/>
      <c r="D276" s="22"/>
      <c r="E276" s="22"/>
      <c r="F276" s="22"/>
      <c r="G276" s="22"/>
      <c r="H276" s="22"/>
      <c r="I276" s="22"/>
      <c r="J276" s="22"/>
      <c r="K276" s="22"/>
      <c r="L276" s="9"/>
      <c r="M276" s="10"/>
      <c r="N276" s="9"/>
      <c r="O276" s="12"/>
      <c r="Q276" s="9"/>
      <c r="R276" s="9"/>
      <c r="S276" s="9"/>
      <c r="T276" s="9"/>
    </row>
    <row r="277" ht="15.75" customHeight="1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9"/>
      <c r="M277" s="10"/>
      <c r="N277" s="9"/>
      <c r="O277" s="12"/>
      <c r="Q277" s="9"/>
      <c r="R277" s="9"/>
      <c r="S277" s="9"/>
      <c r="T277" s="9"/>
    </row>
    <row r="278" ht="15.75" customHeight="1">
      <c r="A278" s="22"/>
      <c r="B278" s="22"/>
      <c r="C278" s="23"/>
      <c r="D278" s="22"/>
      <c r="E278" s="22"/>
      <c r="F278" s="22"/>
      <c r="G278" s="22"/>
      <c r="H278" s="22"/>
      <c r="I278" s="22"/>
      <c r="J278" s="22"/>
      <c r="K278" s="22"/>
      <c r="L278" s="9"/>
      <c r="M278" s="10"/>
      <c r="N278" s="9"/>
      <c r="O278" s="12"/>
      <c r="Q278" s="9"/>
      <c r="R278" s="9"/>
      <c r="S278" s="9"/>
      <c r="T278" s="9"/>
    </row>
    <row r="279" ht="15.75" customHeight="1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9"/>
      <c r="M279" s="10"/>
      <c r="N279" s="9"/>
      <c r="O279" s="12"/>
      <c r="Q279" s="9"/>
      <c r="R279" s="9"/>
      <c r="S279" s="9"/>
      <c r="T279" s="9"/>
    </row>
    <row r="280" ht="15.75" customHeight="1">
      <c r="A280" s="22"/>
      <c r="B280" s="22"/>
      <c r="C280" s="23"/>
      <c r="D280" s="22"/>
      <c r="E280" s="22"/>
      <c r="F280" s="22"/>
      <c r="G280" s="22"/>
      <c r="H280" s="22"/>
      <c r="I280" s="22"/>
      <c r="J280" s="22"/>
      <c r="K280" s="22"/>
      <c r="L280" s="9"/>
      <c r="M280" s="10"/>
      <c r="N280" s="9"/>
      <c r="O280" s="12"/>
      <c r="Q280" s="9"/>
      <c r="R280" s="9"/>
      <c r="S280" s="9"/>
      <c r="T280" s="9"/>
    </row>
    <row r="281" ht="15.75" customHeight="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9"/>
      <c r="M281" s="10"/>
      <c r="N281" s="9"/>
      <c r="O281" s="12"/>
      <c r="Q281" s="9"/>
      <c r="R281" s="9"/>
      <c r="S281" s="9"/>
      <c r="T281" s="9"/>
    </row>
    <row r="282" ht="15.75" customHeight="1">
      <c r="A282" s="22"/>
      <c r="B282" s="22"/>
      <c r="C282" s="23"/>
      <c r="D282" s="22"/>
      <c r="E282" s="22"/>
      <c r="F282" s="22"/>
      <c r="G282" s="22"/>
      <c r="H282" s="22"/>
      <c r="I282" s="22"/>
      <c r="J282" s="22"/>
      <c r="K282" s="22"/>
      <c r="L282" s="9"/>
      <c r="M282" s="10"/>
      <c r="N282" s="9"/>
      <c r="O282" s="12"/>
      <c r="Q282" s="9"/>
      <c r="R282" s="9"/>
      <c r="S282" s="9"/>
      <c r="T282" s="9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7.5"/>
    <col customWidth="1" min="3" max="3" width="23.63"/>
  </cols>
  <sheetData>
    <row r="1">
      <c r="A1" s="24" t="s">
        <v>181</v>
      </c>
      <c r="B1" s="25">
        <f>MAX(Principal!O:O)</f>
        <v>4762926995</v>
      </c>
      <c r="C1" s="26" t="str">
        <f>VLOOKUP(B1,Principal!O:Q,3,0)</f>
        <v>Vale</v>
      </c>
    </row>
    <row r="2">
      <c r="A2" s="27" t="s">
        <v>182</v>
      </c>
      <c r="B2" s="28">
        <f>MIN(Principal!O:O)</f>
        <v>-1807432634</v>
      </c>
      <c r="C2" s="29" t="str">
        <f>VLOOKUP(B2,Principal!O:Q,3,0)</f>
        <v>Localiza</v>
      </c>
    </row>
    <row r="3">
      <c r="A3" s="24" t="s">
        <v>183</v>
      </c>
      <c r="B3" s="25">
        <f>AVERAGE(Principal!O:O)</f>
        <v>165190210.5</v>
      </c>
      <c r="C3" s="30"/>
    </row>
    <row r="4">
      <c r="A4" s="31" t="s">
        <v>184</v>
      </c>
      <c r="B4" s="32">
        <f>AVERAGEIF(Principal!P:P,"subiu",Principal!O:O)</f>
        <v>448164250.2</v>
      </c>
    </row>
    <row r="5">
      <c r="A5" s="24" t="s">
        <v>185</v>
      </c>
      <c r="B5" s="33">
        <f>AVERAGEIF(Principal!P:P,"desceu",Principal!O:O)</f>
        <v>-181109141.8</v>
      </c>
      <c r="C5" s="30"/>
    </row>
    <row r="9">
      <c r="A9" s="34" t="s">
        <v>186</v>
      </c>
      <c r="B9" s="34" t="s">
        <v>187</v>
      </c>
      <c r="C9" s="35" t="s">
        <v>188</v>
      </c>
    </row>
    <row r="10">
      <c r="A10" s="36" t="str">
        <f>IFERROR(__xludf.DUMMYFUNCTION("UNIQUE(Principal!R2:R82)"),"Siderurgia")</f>
        <v>Siderurgia</v>
      </c>
      <c r="B10" s="37">
        <f>SUMIF(Principal!R:R,A10,Principal!O:O)</f>
        <v>489935930.9</v>
      </c>
      <c r="C10" s="38">
        <f>SUMIFS(Principal!O:O,Principal!R:R,A10,Principal!P:P,"subiu")</f>
        <v>489935930.9</v>
      </c>
    </row>
    <row r="11">
      <c r="A11" s="39" t="str">
        <f>IFERROR(__xludf.DUMMYFUNCTION("""COMPUTED_VALUE"""),"Mineração")</f>
        <v>Mineração</v>
      </c>
      <c r="B11" s="32">
        <f>SUMIF(Principal!R:R,A11,Principal!O:O)</f>
        <v>4940442966</v>
      </c>
      <c r="C11" s="40">
        <f>SUMIFS(Principal!O:O,Principal!R:R,A11,Principal!P:P,"subiu")</f>
        <v>4940442966</v>
      </c>
    </row>
    <row r="12">
      <c r="A12" s="39" t="str">
        <f>IFERROR(__xludf.DUMMYFUNCTION("""COMPUTED_VALUE"""),"Petróleo e Gás")</f>
        <v>Petróleo e Gás</v>
      </c>
      <c r="B12" s="32">
        <f>SUMIF(Principal!R:R,A12,Principal!O:O)</f>
        <v>6093288832</v>
      </c>
      <c r="C12" s="40">
        <f>SUMIFS(Principal!O:O,Principal!R:R,A12,Principal!P:P,"subiu")</f>
        <v>6093288832</v>
      </c>
    </row>
    <row r="13">
      <c r="A13" s="39" t="str">
        <f>IFERROR(__xludf.DUMMYFUNCTION("""COMPUTED_VALUE"""),"Papel e Celulose")</f>
        <v>Papel e Celulose</v>
      </c>
      <c r="B13" s="32">
        <f>SUMIF(Principal!R:R,A13,Principal!O:O)</f>
        <v>722946282.7</v>
      </c>
      <c r="C13" s="40">
        <f>SUMIFS(Principal!O:O,Principal!R:R,A13,Principal!P:P,"subiu")</f>
        <v>722946282.7</v>
      </c>
    </row>
    <row r="14">
      <c r="A14" s="39" t="str">
        <f>IFERROR(__xludf.DUMMYFUNCTION("""COMPUTED_VALUE"""),"Energia Elétrica")</f>
        <v>Energia Elétrica</v>
      </c>
      <c r="B14" s="32">
        <f>SUMIF(Principal!R:R,A14,Principal!O:O)</f>
        <v>58265466.43</v>
      </c>
      <c r="C14" s="40">
        <f>SUMIFS(Principal!O:O,Principal!R:R,A14,Principal!P:P,"subiu")</f>
        <v>682315640</v>
      </c>
    </row>
    <row r="15">
      <c r="A15" s="39" t="str">
        <f>IFERROR(__xludf.DUMMYFUNCTION("""COMPUTED_VALUE"""),"Shopping Centers")</f>
        <v>Shopping Centers</v>
      </c>
      <c r="B15" s="32">
        <f>SUMIF(Principal!R:R,A15,Principal!O:O)</f>
        <v>117732680.1</v>
      </c>
      <c r="C15" s="40">
        <f>SUMIFS(Principal!O:O,Principal!R:R,A15,Principal!P:P,"subiu")</f>
        <v>117732680.1</v>
      </c>
    </row>
    <row r="16">
      <c r="A16" s="39" t="str">
        <f>IFERROR(__xludf.DUMMYFUNCTION("""COMPUTED_VALUE"""),"Bancos")</f>
        <v>Bancos</v>
      </c>
      <c r="B16" s="32">
        <f>SUMIF(Principal!R:R,A16,Principal!O:O)</f>
        <v>3740512019</v>
      </c>
      <c r="C16" s="40">
        <f>SUMIFS(Principal!O:O,Principal!R:R,A16,Principal!P:P,"subiu")</f>
        <v>3740512019</v>
      </c>
    </row>
    <row r="17">
      <c r="A17" s="39" t="str">
        <f>IFERROR(__xludf.DUMMYFUNCTION("""COMPUTED_VALUE"""),"Saúde")</f>
        <v>Saúde</v>
      </c>
      <c r="B17" s="32">
        <f>SUMIF(Principal!R:R,A17,Principal!O:O)</f>
        <v>262673943.6</v>
      </c>
      <c r="C17" s="40">
        <f>SUMIFS(Principal!O:O,Principal!R:R,A17,Principal!P:P,"subiu")</f>
        <v>656270380.8</v>
      </c>
    </row>
    <row r="18">
      <c r="A18" s="39" t="str">
        <f>IFERROR(__xludf.DUMMYFUNCTION("""COMPUTED_VALUE"""),"Petroquímica")</f>
        <v>Petroquímica</v>
      </c>
      <c r="B18" s="32">
        <f>SUMIF(Principal!R:R,A18,Principal!O:O)</f>
        <v>69054317.64</v>
      </c>
      <c r="C18" s="40">
        <f>SUMIFS(Principal!O:O,Principal!R:R,A18,Principal!P:P,"subiu")</f>
        <v>69054317.64</v>
      </c>
    </row>
    <row r="19">
      <c r="A19" s="39" t="str">
        <f>IFERROR(__xludf.DUMMYFUNCTION("""COMPUTED_VALUE"""),"Transporte Aéreo")</f>
        <v>Transporte Aéreo</v>
      </c>
      <c r="B19" s="32">
        <f>SUMIF(Principal!R:R,A19,Principal!O:O)</f>
        <v>-37540997.06</v>
      </c>
      <c r="C19" s="40">
        <f>SUMIFS(Principal!O:O,Principal!R:R,A19,Principal!P:P,"subiu")</f>
        <v>65452205.55</v>
      </c>
    </row>
    <row r="20">
      <c r="A20" s="39" t="str">
        <f>IFERROR(__xludf.DUMMYFUNCTION("""COMPUTED_VALUE"""),"Educação")</f>
        <v>Educação</v>
      </c>
      <c r="B20" s="32">
        <f>SUMIF(Principal!R:R,A20,Principal!O:O)</f>
        <v>54641872.47</v>
      </c>
      <c r="C20" s="40">
        <f>SUMIFS(Principal!O:O,Principal!R:R,A20,Principal!P:P,"subiu")</f>
        <v>72295838.99</v>
      </c>
    </row>
    <row r="21">
      <c r="A21" s="39" t="str">
        <f>IFERROR(__xludf.DUMMYFUNCTION("""COMPUTED_VALUE"""),"Distribuição")</f>
        <v>Distribuição</v>
      </c>
      <c r="B21" s="32">
        <f>SUMIF(Principal!R:R,A21,Principal!O:O)</f>
        <v>388705224</v>
      </c>
      <c r="C21" s="40">
        <f>SUMIFS(Principal!O:O,Principal!R:R,A21,Principal!P:P,"subiu")</f>
        <v>388705224</v>
      </c>
    </row>
    <row r="22">
      <c r="A22" s="39" t="str">
        <f>IFERROR(__xludf.DUMMYFUNCTION("""COMPUTED_VALUE"""),"Construção Civil")</f>
        <v>Construção Civil</v>
      </c>
      <c r="B22" s="32">
        <f>SUMIF(Principal!R:R,A22,Principal!O:O)</f>
        <v>-61087401.61</v>
      </c>
      <c r="C22" s="40">
        <f>SUMIFS(Principal!O:O,Principal!R:R,A22,Principal!P:P,"subiu")</f>
        <v>37525872.38</v>
      </c>
    </row>
    <row r="23">
      <c r="A23" s="39" t="str">
        <f>IFERROR(__xludf.DUMMYFUNCTION("""COMPUTED_VALUE"""),"Vestuário")</f>
        <v>Vestuário</v>
      </c>
      <c r="B23" s="32">
        <f>SUMIF(Principal!R:R,A23,Principal!O:O)</f>
        <v>41021792.09</v>
      </c>
      <c r="C23" s="40">
        <f>SUMIFS(Principal!O:O,Principal!R:R,A23,Principal!P:P,"subiu")</f>
        <v>41021792.09</v>
      </c>
    </row>
    <row r="24">
      <c r="A24" s="39" t="str">
        <f>IFERROR(__xludf.DUMMYFUNCTION("""COMPUTED_VALUE"""),"Alimentos")</f>
        <v>Alimentos</v>
      </c>
      <c r="B24" s="32">
        <f>SUMIF(Principal!R:R,A24,Principal!O:O)</f>
        <v>414174599.3</v>
      </c>
      <c r="C24" s="40">
        <f>SUMIFS(Principal!O:O,Principal!R:R,A24,Principal!P:P,"subiu")</f>
        <v>414174599.3</v>
      </c>
    </row>
    <row r="25">
      <c r="A25" s="39" t="str">
        <f>IFERROR(__xludf.DUMMYFUNCTION("""COMPUTED_VALUE"""),"Telecomunicações")</f>
        <v>Telecomunicações</v>
      </c>
      <c r="B25" s="32">
        <f>SUMIF(Principal!R:R,A25,Principal!O:O)</f>
        <v>292938114.4</v>
      </c>
      <c r="C25" s="40">
        <f>SUMIFS(Principal!O:O,Principal!R:R,A25,Principal!P:P,"subiu")</f>
        <v>292938114.4</v>
      </c>
    </row>
    <row r="26">
      <c r="A26" s="39" t="str">
        <f>IFERROR(__xludf.DUMMYFUNCTION("""COMPUTED_VALUE"""),"Logística")</f>
        <v>Logística</v>
      </c>
      <c r="B26" s="32">
        <f>SUMIF(Principal!R:R,A26,Principal!O:O)</f>
        <v>215151569.1</v>
      </c>
      <c r="C26" s="40">
        <f>SUMIFS(Principal!O:O,Principal!R:R,A26,Principal!P:P,"subiu")</f>
        <v>251971121.4</v>
      </c>
    </row>
    <row r="27">
      <c r="A27" s="39" t="str">
        <f>IFERROR(__xludf.DUMMYFUNCTION("""COMPUTED_VALUE"""),"Serviços Financeiros")</f>
        <v>Serviços Financeiros</v>
      </c>
      <c r="B27" s="32">
        <f>SUMIF(Principal!R:R,A27,Principal!O:O)</f>
        <v>-1130127983</v>
      </c>
      <c r="C27" s="40">
        <f>SUMIFS(Principal!O:O,Principal!R:R,A27,Principal!P:P,"subiu")</f>
        <v>43657683.38</v>
      </c>
    </row>
    <row r="28">
      <c r="A28" s="39" t="str">
        <f>IFERROR(__xludf.DUMMYFUNCTION("""COMPUTED_VALUE"""),"Holding Diversificada")</f>
        <v>Holding Diversificada</v>
      </c>
      <c r="B28" s="32">
        <f>SUMIF(Principal!R:R,A28,Principal!O:O)</f>
        <v>416092244.4</v>
      </c>
      <c r="C28" s="40">
        <f>SUMIFS(Principal!O:O,Principal!R:R,A28,Principal!P:P,"subiu")</f>
        <v>416092244.4</v>
      </c>
    </row>
    <row r="29">
      <c r="A29" s="39" t="str">
        <f>IFERROR(__xludf.DUMMYFUNCTION("""COMPUTED_VALUE"""),"Tecnologia")</f>
        <v>Tecnologia</v>
      </c>
      <c r="B29" s="32">
        <f>SUMIF(Principal!R:R,A29,Principal!O:O)</f>
        <v>6067508.905</v>
      </c>
      <c r="C29" s="40">
        <f>SUMIFS(Principal!O:O,Principal!R:R,A29,Principal!P:P,"subiu")</f>
        <v>15598886.65</v>
      </c>
    </row>
    <row r="30">
      <c r="A30" s="39" t="str">
        <f>IFERROR(__xludf.DUMMYFUNCTION("""COMPUTED_VALUE"""),"Energia e Logística")</f>
        <v>Energia e Logística</v>
      </c>
      <c r="B30" s="32">
        <f>SUMIF(Principal!R:R,A30,Principal!O:O)</f>
        <v>127229653.2</v>
      </c>
      <c r="C30" s="40">
        <f>SUMIFS(Principal!O:O,Principal!R:R,A30,Principal!P:P,"subiu")</f>
        <v>127229653.2</v>
      </c>
    </row>
    <row r="31">
      <c r="A31" s="39" t="str">
        <f>IFERROR(__xludf.DUMMYFUNCTION("""COMPUTED_VALUE"""),"Varejo")</f>
        <v>Varejo</v>
      </c>
      <c r="B31" s="32">
        <f>SUMIF(Principal!R:R,A31,Principal!O:O)</f>
        <v>-541370992.4</v>
      </c>
      <c r="C31" s="40">
        <f>SUMIFS(Principal!O:O,Principal!R:R,A31,Principal!P:P,"subiu")</f>
        <v>28493619.27</v>
      </c>
    </row>
    <row r="32">
      <c r="A32" s="39" t="str">
        <f>IFERROR(__xludf.DUMMYFUNCTION("""COMPUTED_VALUE"""),"Energia e Biocombustível")</f>
        <v>Energia e Biocombustível</v>
      </c>
      <c r="B32" s="32">
        <f>SUMIF(Principal!R:R,A32,Principal!O:O)</f>
        <v>11571106.42</v>
      </c>
      <c r="C32" s="40">
        <f>SUMIFS(Principal!O:O,Principal!R:R,A32,Principal!P:P,"subiu")</f>
        <v>11571106.42</v>
      </c>
    </row>
    <row r="33">
      <c r="A33" s="39" t="str">
        <f>IFERROR(__xludf.DUMMYFUNCTION("""COMPUTED_VALUE"""),"Bebidas")</f>
        <v>Bebidas</v>
      </c>
      <c r="B33" s="32">
        <f>SUMIF(Principal!R:R,A33,Principal!O:O)</f>
        <v>0</v>
      </c>
      <c r="C33" s="40">
        <f>SUMIFS(Principal!O:O,Principal!R:R,A33,Principal!P:P,"subiu")</f>
        <v>0</v>
      </c>
    </row>
    <row r="34">
      <c r="A34" s="39" t="str">
        <f>IFERROR(__xludf.DUMMYFUNCTION("""COMPUTED_VALUE"""),"Seguros")</f>
        <v>Seguros</v>
      </c>
      <c r="B34" s="32">
        <f>SUMIF(Principal!R:R,A34,Principal!O:O)</f>
        <v>-26297880.21</v>
      </c>
      <c r="C34" s="40">
        <f>SUMIFS(Principal!O:O,Principal!R:R,A34,Principal!P:P,"subiu")</f>
        <v>0</v>
      </c>
    </row>
    <row r="35">
      <c r="A35" s="39" t="str">
        <f>IFERROR(__xludf.DUMMYFUNCTION("""COMPUTED_VALUE"""),"Saneamento Básico")</f>
        <v>Saneamento Básico</v>
      </c>
      <c r="B35" s="32">
        <f>SUMIF(Principal!R:R,A35,Principal!O:O)</f>
        <v>-15725678.56</v>
      </c>
      <c r="C35" s="40">
        <f>SUMIFS(Principal!O:O,Principal!R:R,A35,Principal!P:P,"subiu")</f>
        <v>0</v>
      </c>
    </row>
    <row r="36">
      <c r="A36" s="39" t="str">
        <f>IFERROR(__xludf.DUMMYFUNCTION("""COMPUTED_VALUE"""),"Energia")</f>
        <v>Energia</v>
      </c>
      <c r="B36" s="32">
        <f>SUMIF(Principal!R:R,A36,Principal!O:O)</f>
        <v>-217506155.6</v>
      </c>
      <c r="C36" s="40">
        <f>SUMIFS(Principal!O:O,Principal!R:R,A36,Principal!P:P,"subiu")</f>
        <v>0</v>
      </c>
    </row>
    <row r="37">
      <c r="A37" s="39" t="str">
        <f>IFERROR(__xludf.DUMMYFUNCTION("""COMPUTED_VALUE"""),"Equipamentos Elétricos")</f>
        <v>Equipamentos Elétricos</v>
      </c>
      <c r="B37" s="32">
        <f>SUMIF(Principal!R:R,A37,Principal!O:O)</f>
        <v>-118230410.4</v>
      </c>
      <c r="C37" s="40">
        <f>SUMIFS(Principal!O:O,Principal!R:R,A37,Principal!P:P,"subiu")</f>
        <v>0</v>
      </c>
    </row>
    <row r="38">
      <c r="A38" s="39" t="str">
        <f>IFERROR(__xludf.DUMMYFUNCTION("""COMPUTED_VALUE"""),"Agronegócio")</f>
        <v>Agronegócio</v>
      </c>
      <c r="B38" s="32">
        <f>SUMIF(Principal!R:R,A38,Principal!O:O)</f>
        <v>-9468663.682</v>
      </c>
      <c r="C38" s="40">
        <f>SUMIFS(Principal!O:O,Principal!R:R,A38,Principal!P:P,"subiu")</f>
        <v>0</v>
      </c>
    </row>
    <row r="39">
      <c r="A39" s="39" t="str">
        <f>IFERROR(__xludf.DUMMYFUNCTION("""COMPUTED_VALUE"""),"Infraestrutura")</f>
        <v>Infraestrutura</v>
      </c>
      <c r="B39" s="32">
        <f>SUMIF(Principal!R:R,A39,Principal!O:O)</f>
        <v>-39743554.31</v>
      </c>
      <c r="C39" s="40">
        <f>SUMIFS(Principal!O:O,Principal!R:R,A39,Principal!P:P,"subiu")</f>
        <v>0</v>
      </c>
    </row>
    <row r="40">
      <c r="A40" s="39" t="str">
        <f>IFERROR(__xludf.DUMMYFUNCTION("""COMPUTED_VALUE"""),"Calçados")</f>
        <v>Calçados</v>
      </c>
      <c r="B40" s="32">
        <f>SUMIF(Principal!R:R,A40,Principal!O:O)</f>
        <v>-21126374.33</v>
      </c>
      <c r="C40" s="40">
        <f>SUMIFS(Principal!O:O,Principal!R:R,A40,Principal!P:P,"subiu")</f>
        <v>0</v>
      </c>
    </row>
    <row r="41">
      <c r="A41" s="39" t="str">
        <f>IFERROR(__xludf.DUMMYFUNCTION("""COMPUTED_VALUE"""),"Aeronáutica")</f>
        <v>Aeronáutica</v>
      </c>
      <c r="B41" s="32">
        <f>SUMIF(Principal!R:R,A41,Principal!O:O)</f>
        <v>-233651943.5</v>
      </c>
      <c r="C41" s="40">
        <f>SUMIFS(Principal!O:O,Principal!R:R,A41,Principal!P:P,"subiu")</f>
        <v>0</v>
      </c>
    </row>
    <row r="42">
      <c r="A42" s="39" t="str">
        <f>IFERROR(__xludf.DUMMYFUNCTION("""COMPUTED_VALUE"""),"Cosméticos")</f>
        <v>Cosméticos</v>
      </c>
      <c r="B42" s="32">
        <f>SUMIF(Principal!R:R,A42,Principal!O:O)</f>
        <v>-193280001.2</v>
      </c>
      <c r="C42" s="40">
        <f>SUMIFS(Principal!O:O,Principal!R:R,A42,Principal!P:P,"subiu")</f>
        <v>0</v>
      </c>
    </row>
    <row r="43">
      <c r="A43" s="39" t="str">
        <f>IFERROR(__xludf.DUMMYFUNCTION("""COMPUTED_VALUE"""),"Alimentos e Varejo")</f>
        <v>Alimentos e Varejo</v>
      </c>
      <c r="B43" s="32">
        <f>SUMIF(Principal!R:R,A43,Principal!O:O)</f>
        <v>-268201195.1</v>
      </c>
      <c r="C43" s="40">
        <f>SUMIFS(Principal!O:O,Principal!R:R,A43,Principal!P:P,"subiu")</f>
        <v>0</v>
      </c>
    </row>
    <row r="44">
      <c r="A44" s="39" t="str">
        <f>IFERROR(__xludf.DUMMYFUNCTION("""COMPUTED_VALUE"""),"Farmacêutica")</f>
        <v>Farmacêutica</v>
      </c>
      <c r="B44" s="32">
        <f>SUMIF(Principal!R:R,A44,Principal!O:O)</f>
        <v>-208257014.2</v>
      </c>
      <c r="C44" s="40">
        <f>SUMIFS(Principal!O:O,Principal!R:R,A44,Principal!P:P,"subiu")</f>
        <v>0</v>
      </c>
    </row>
    <row r="45">
      <c r="A45" s="39" t="str">
        <f>IFERROR(__xludf.DUMMYFUNCTION("""COMPUTED_VALUE"""),"Açúcar e Álcool")</f>
        <v>Açúcar e Álcool</v>
      </c>
      <c r="B45" s="32">
        <f>SUMIF(Principal!R:R,A45,Principal!O:O)</f>
        <v>-79432785.74</v>
      </c>
      <c r="C45" s="40">
        <f>SUMIFS(Principal!O:O,Principal!R:R,A45,Principal!P:P,"subiu")</f>
        <v>0</v>
      </c>
    </row>
    <row r="46">
      <c r="A46" s="39" t="str">
        <f>IFERROR(__xludf.DUMMYFUNCTION("""COMPUTED_VALUE"""),"Aluguel de Carros")</f>
        <v>Aluguel de Carros</v>
      </c>
      <c r="B46" s="32">
        <f>SUMIF(Principal!R:R,A46,Principal!O:O)</f>
        <v>-1807432634</v>
      </c>
      <c r="C46" s="40">
        <f>SUMIFS(Principal!O:O,Principal!R:R,A46,Principal!P:P,"subiu")</f>
        <v>0</v>
      </c>
    </row>
    <row r="47">
      <c r="A47" s="41" t="str">
        <f>IFERROR(__xludf.DUMMYFUNCTION("""COMPUTED_VALUE"""),"Turismo")</f>
        <v>Turismo</v>
      </c>
      <c r="B47" s="42">
        <f>SUMIF(Principal!R:R,A47,Principal!O:O)</f>
        <v>-73557408.06</v>
      </c>
      <c r="C47" s="43">
        <f>SUMIFS(Principal!O:O,Principal!R:R,A47,Principal!P:P,"subiu")</f>
        <v>0</v>
      </c>
    </row>
    <row r="48">
      <c r="H48" s="44"/>
    </row>
    <row r="50">
      <c r="A50" s="45" t="str">
        <f>IFERROR(__xludf.DUMMYFUNCTION("UNIQUE(Principal!P:P)"),"Resultado")</f>
        <v>Resultado</v>
      </c>
      <c r="B50" s="46" t="s">
        <v>14</v>
      </c>
    </row>
    <row r="51">
      <c r="A51" s="47" t="str">
        <f>IFERROR(__xludf.DUMMYFUNCTION("""COMPUTED_VALUE"""),"subiu")</f>
        <v>subiu</v>
      </c>
      <c r="B51" s="32">
        <f>SUMIF(Principal!P:P,A51,Principal!O:O)</f>
        <v>19719227010</v>
      </c>
    </row>
    <row r="52">
      <c r="A52" s="47" t="str">
        <f>IFERROR(__xludf.DUMMYFUNCTION("""COMPUTED_VALUE"""),"estavel")</f>
        <v>estavel</v>
      </c>
      <c r="B52" s="32">
        <f>SUMIF(Principal!P:P,A52,Principal!O:O)</f>
        <v>0</v>
      </c>
    </row>
    <row r="53">
      <c r="A53" s="47" t="str">
        <f>IFERROR(__xludf.DUMMYFUNCTION("""COMPUTED_VALUE"""),"desceu")</f>
        <v>desceu</v>
      </c>
      <c r="B53" s="32">
        <f>SUMIF(Principal!P:P,A53,Principal!O:O)</f>
        <v>-6338819961</v>
      </c>
    </row>
    <row r="54">
      <c r="A54" s="47"/>
    </row>
    <row r="56">
      <c r="A56" s="46" t="s">
        <v>189</v>
      </c>
      <c r="B56" s="46" t="s">
        <v>14</v>
      </c>
      <c r="C56" s="48" t="s">
        <v>190</v>
      </c>
    </row>
    <row r="57">
      <c r="A57" s="47" t="str">
        <f>IFERROR(__xludf.DUMMYFUNCTION("UNIQUE(Principal!T2:T82)"),"entre 50 e 100")</f>
        <v>entre 50 e 100</v>
      </c>
      <c r="B57" s="32">
        <f>SUMIF(Principal!T:T,A57,Principal!O:O)</f>
        <v>11337530362</v>
      </c>
      <c r="C57" s="47">
        <f>COUNTIF(Principal!T:T,A57)</f>
        <v>31</v>
      </c>
    </row>
    <row r="58">
      <c r="A58" s="47" t="str">
        <f>IFERROR(__xludf.DUMMYFUNCTION("""COMPUTED_VALUE"""),"menor que 50")</f>
        <v>menor que 50</v>
      </c>
      <c r="B58" s="32">
        <f>SUMIF(Principal!T:T,A58,Principal!O:O)</f>
        <v>1071499330</v>
      </c>
      <c r="C58" s="47">
        <f>COUNTIF(Principal!T:T,A58)</f>
        <v>44</v>
      </c>
    </row>
    <row r="59">
      <c r="A59" s="47" t="str">
        <f>IFERROR(__xludf.DUMMYFUNCTION("""COMPUTED_VALUE"""),"maior que 100")</f>
        <v>maior que 100</v>
      </c>
      <c r="B59" s="32">
        <f>SUMIF(Principal!T:T,A59,Principal!O:O)</f>
        <v>971377356.5</v>
      </c>
      <c r="C59" s="47">
        <f>COUNTIF(Principal!T:T,A59)</f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49" t="s">
        <v>191</v>
      </c>
      <c r="B1" s="49" t="s">
        <v>192</v>
      </c>
    </row>
    <row r="2" ht="15.75" customHeight="1">
      <c r="A2" s="50" t="s">
        <v>46</v>
      </c>
      <c r="B2" s="51">
        <v>2.35665566E8</v>
      </c>
    </row>
    <row r="3" ht="15.75" customHeight="1">
      <c r="A3" s="50" t="s">
        <v>128</v>
      </c>
      <c r="B3" s="51">
        <v>5.32616595E8</v>
      </c>
    </row>
    <row r="4" ht="15.75" customHeight="1">
      <c r="A4" s="50" t="s">
        <v>151</v>
      </c>
      <c r="B4" s="51">
        <v>1.76733968E8</v>
      </c>
    </row>
    <row r="5" ht="15.75" customHeight="1">
      <c r="A5" s="50" t="s">
        <v>110</v>
      </c>
      <c r="B5" s="51">
        <v>4.394245879E9</v>
      </c>
    </row>
    <row r="6" ht="15.75" customHeight="1">
      <c r="A6" s="50" t="s">
        <v>58</v>
      </c>
      <c r="B6" s="51">
        <v>6.2305891E7</v>
      </c>
    </row>
    <row r="7" ht="15.75" customHeight="1">
      <c r="A7" s="50" t="s">
        <v>159</v>
      </c>
      <c r="B7" s="51">
        <v>1.349217892E9</v>
      </c>
    </row>
    <row r="8" ht="15.75" customHeight="1">
      <c r="A8" s="50" t="s">
        <v>44</v>
      </c>
      <c r="B8" s="51">
        <v>3.27593725E8</v>
      </c>
    </row>
    <row r="9" ht="15.75" customHeight="1">
      <c r="A9" s="50" t="s">
        <v>161</v>
      </c>
      <c r="B9" s="51">
        <v>5.60279011E9</v>
      </c>
    </row>
    <row r="10" ht="15.75" customHeight="1">
      <c r="A10" s="50" t="s">
        <v>112</v>
      </c>
      <c r="B10" s="51">
        <v>6.71750768E8</v>
      </c>
    </row>
    <row r="11" ht="15.75" customHeight="1">
      <c r="A11" s="50" t="s">
        <v>98</v>
      </c>
      <c r="B11" s="51">
        <v>1.500728902E9</v>
      </c>
    </row>
    <row r="12" ht="15.75" customHeight="1">
      <c r="A12" s="50" t="s">
        <v>60</v>
      </c>
      <c r="B12" s="51">
        <v>5.146576868E9</v>
      </c>
    </row>
    <row r="13" ht="15.75" customHeight="1">
      <c r="A13" s="50" t="s">
        <v>78</v>
      </c>
      <c r="B13" s="51">
        <v>2.51003438E8</v>
      </c>
    </row>
    <row r="14" ht="15.75" customHeight="1">
      <c r="A14" s="50" t="s">
        <v>86</v>
      </c>
      <c r="B14" s="51">
        <v>1.420949112E9</v>
      </c>
    </row>
    <row r="15" ht="15.75" customHeight="1">
      <c r="A15" s="50" t="s">
        <v>42</v>
      </c>
      <c r="B15" s="51">
        <v>2.65877867E8</v>
      </c>
    </row>
    <row r="16" ht="15.75" customHeight="1">
      <c r="A16" s="50" t="s">
        <v>66</v>
      </c>
      <c r="B16" s="51">
        <v>1.677525446E9</v>
      </c>
    </row>
    <row r="17" ht="15.75" customHeight="1">
      <c r="A17" s="50" t="s">
        <v>193</v>
      </c>
      <c r="B17" s="51">
        <v>1.150645866E9</v>
      </c>
    </row>
    <row r="18" ht="15.75" customHeight="1">
      <c r="A18" s="50" t="s">
        <v>171</v>
      </c>
      <c r="B18" s="51">
        <v>5.33990587E8</v>
      </c>
    </row>
    <row r="19" ht="15.75" customHeight="1">
      <c r="A19" s="50" t="s">
        <v>173</v>
      </c>
      <c r="B19" s="51">
        <v>9.4843047E7</v>
      </c>
    </row>
    <row r="20" ht="15.75" customHeight="1">
      <c r="A20" s="50" t="s">
        <v>130</v>
      </c>
      <c r="B20" s="51">
        <v>9.95335937E8</v>
      </c>
    </row>
    <row r="21" ht="15.75" customHeight="1">
      <c r="A21" s="50" t="s">
        <v>118</v>
      </c>
      <c r="B21" s="51">
        <v>1.437415777E9</v>
      </c>
    </row>
    <row r="22" ht="15.75" customHeight="1">
      <c r="A22" s="50" t="s">
        <v>72</v>
      </c>
      <c r="B22" s="51">
        <v>1.095462329E9</v>
      </c>
    </row>
    <row r="23" ht="15.75" customHeight="1">
      <c r="A23" s="50" t="s">
        <v>132</v>
      </c>
      <c r="B23" s="51">
        <v>1.81492098E9</v>
      </c>
    </row>
    <row r="24" ht="15.75" customHeight="1">
      <c r="A24" s="50" t="s">
        <v>104</v>
      </c>
      <c r="B24" s="51">
        <v>1.67933529E9</v>
      </c>
    </row>
    <row r="25" ht="15.75" customHeight="1">
      <c r="A25" s="50" t="s">
        <v>92</v>
      </c>
      <c r="B25" s="51">
        <v>1.168097881E9</v>
      </c>
    </row>
    <row r="26" ht="15.75" customHeight="1">
      <c r="A26" s="50" t="s">
        <v>28</v>
      </c>
      <c r="B26" s="51">
        <v>1.87732538E8</v>
      </c>
    </row>
    <row r="27" ht="15.75" customHeight="1">
      <c r="A27" s="50" t="s">
        <v>22</v>
      </c>
      <c r="B27" s="51">
        <v>1.110559345E9</v>
      </c>
    </row>
    <row r="28" ht="15.75" customHeight="1">
      <c r="A28" s="50" t="s">
        <v>177</v>
      </c>
      <c r="B28" s="51">
        <v>5.25582771E8</v>
      </c>
    </row>
    <row r="29" ht="15.75" customHeight="1">
      <c r="A29" s="50" t="s">
        <v>153</v>
      </c>
      <c r="B29" s="51">
        <v>2.65784616E8</v>
      </c>
    </row>
    <row r="30" ht="15.75" customHeight="1">
      <c r="A30" s="50" t="s">
        <v>74</v>
      </c>
      <c r="B30" s="51">
        <v>3.0276824E8</v>
      </c>
    </row>
    <row r="31" ht="15.75" customHeight="1">
      <c r="A31" s="50" t="s">
        <v>142</v>
      </c>
      <c r="B31" s="51">
        <v>1.980568384E9</v>
      </c>
    </row>
    <row r="32" ht="15.75" customHeight="1">
      <c r="A32" s="50" t="s">
        <v>120</v>
      </c>
      <c r="B32" s="51">
        <v>2.68544014E8</v>
      </c>
    </row>
    <row r="33" ht="15.75" customHeight="1">
      <c r="A33" s="50" t="s">
        <v>155</v>
      </c>
      <c r="B33" s="51">
        <v>7.34632705E8</v>
      </c>
    </row>
    <row r="34" ht="15.75" customHeight="1">
      <c r="A34" s="50" t="s">
        <v>194</v>
      </c>
      <c r="B34" s="51">
        <v>2.90386402E8</v>
      </c>
    </row>
    <row r="35" ht="15.75" customHeight="1">
      <c r="A35" s="50" t="s">
        <v>122</v>
      </c>
      <c r="B35" s="51">
        <v>1.579130168E9</v>
      </c>
    </row>
    <row r="36" ht="15.75" customHeight="1">
      <c r="A36" s="50" t="s">
        <v>136</v>
      </c>
      <c r="B36" s="51">
        <v>2.55236961E8</v>
      </c>
    </row>
    <row r="37" ht="15.75" customHeight="1">
      <c r="A37" s="50" t="s">
        <v>48</v>
      </c>
      <c r="B37" s="51">
        <v>1.095587251E9</v>
      </c>
    </row>
    <row r="38" ht="15.75" customHeight="1">
      <c r="A38" s="50" t="s">
        <v>146</v>
      </c>
      <c r="B38" s="51">
        <v>9.1514307E7</v>
      </c>
    </row>
    <row r="39" ht="15.75" customHeight="1">
      <c r="A39" s="50" t="s">
        <v>148</v>
      </c>
      <c r="B39" s="51">
        <v>2.40822651E8</v>
      </c>
    </row>
    <row r="40" ht="15.75" customHeight="1">
      <c r="A40" s="50" t="s">
        <v>100</v>
      </c>
      <c r="B40" s="51">
        <v>1.118525506E9</v>
      </c>
    </row>
    <row r="41" ht="15.75" customHeight="1">
      <c r="A41" s="50" t="s">
        <v>90</v>
      </c>
      <c r="B41" s="51">
        <v>6.60411219E8</v>
      </c>
    </row>
    <row r="42" ht="15.75" customHeight="1">
      <c r="A42" s="50" t="s">
        <v>179</v>
      </c>
      <c r="B42" s="51">
        <v>1.98184909E8</v>
      </c>
    </row>
    <row r="43" ht="15.75" customHeight="1">
      <c r="A43" s="50" t="s">
        <v>157</v>
      </c>
      <c r="B43" s="51">
        <v>8.46244302E8</v>
      </c>
    </row>
    <row r="44" ht="15.75" customHeight="1">
      <c r="A44" s="50" t="s">
        <v>149</v>
      </c>
      <c r="B44" s="51">
        <v>4.96029967E8</v>
      </c>
    </row>
    <row r="45" ht="15.75" customHeight="1">
      <c r="A45" s="50" t="s">
        <v>167</v>
      </c>
      <c r="B45" s="51">
        <v>4.394332306E9</v>
      </c>
    </row>
    <row r="46" ht="15.75" customHeight="1">
      <c r="A46" s="50" t="s">
        <v>163</v>
      </c>
      <c r="B46" s="51">
        <v>4.09490388E8</v>
      </c>
    </row>
    <row r="47" ht="15.75" customHeight="1">
      <c r="A47" s="50" t="s">
        <v>195</v>
      </c>
      <c r="B47" s="51">
        <v>2.17622138E8</v>
      </c>
    </row>
    <row r="48" ht="15.75" customHeight="1">
      <c r="A48" s="50" t="s">
        <v>140</v>
      </c>
      <c r="B48" s="51">
        <v>8.1838843E7</v>
      </c>
    </row>
    <row r="49" ht="15.75" customHeight="1">
      <c r="A49" s="50" t="s">
        <v>84</v>
      </c>
      <c r="B49" s="51">
        <v>5.372783971E9</v>
      </c>
    </row>
    <row r="50" ht="15.75" customHeight="1">
      <c r="A50" s="50" t="s">
        <v>38</v>
      </c>
      <c r="B50" s="51">
        <v>4.801593832E9</v>
      </c>
    </row>
    <row r="51" ht="15.75" customHeight="1">
      <c r="A51" s="50" t="s">
        <v>94</v>
      </c>
      <c r="B51" s="51">
        <v>1.134986472E9</v>
      </c>
    </row>
    <row r="52" ht="15.75" customHeight="1">
      <c r="A52" s="50" t="s">
        <v>196</v>
      </c>
      <c r="B52" s="51">
        <v>7.06747385E8</v>
      </c>
    </row>
    <row r="53" ht="15.75" customHeight="1">
      <c r="A53" s="50" t="s">
        <v>175</v>
      </c>
      <c r="B53" s="51">
        <v>8.53202347E8</v>
      </c>
    </row>
    <row r="54" ht="15.75" customHeight="1">
      <c r="A54" s="50" t="s">
        <v>169</v>
      </c>
      <c r="B54" s="51">
        <v>9.5132977E8</v>
      </c>
    </row>
    <row r="55" ht="15.75" customHeight="1">
      <c r="A55" s="50" t="s">
        <v>80</v>
      </c>
      <c r="B55" s="51">
        <v>3.93173139E8</v>
      </c>
    </row>
    <row r="56" ht="15.75" customHeight="1">
      <c r="A56" s="50" t="s">
        <v>96</v>
      </c>
      <c r="B56" s="51">
        <v>2.867627068E9</v>
      </c>
    </row>
    <row r="57" ht="15.75" customHeight="1">
      <c r="A57" s="50" t="s">
        <v>108</v>
      </c>
      <c r="B57" s="51">
        <v>3.31799687E8</v>
      </c>
    </row>
    <row r="58" ht="15.75" customHeight="1">
      <c r="A58" s="50" t="s">
        <v>62</v>
      </c>
      <c r="B58" s="51">
        <v>2.61036182E8</v>
      </c>
    </row>
    <row r="59" ht="15.75" customHeight="1">
      <c r="A59" s="50" t="s">
        <v>56</v>
      </c>
      <c r="B59" s="51">
        <v>3.76187582E8</v>
      </c>
    </row>
    <row r="60" ht="15.75" customHeight="1">
      <c r="A60" s="50" t="s">
        <v>36</v>
      </c>
      <c r="B60" s="51">
        <v>2.68505432E8</v>
      </c>
    </row>
    <row r="61" ht="15.75" customHeight="1">
      <c r="A61" s="50" t="s">
        <v>64</v>
      </c>
      <c r="B61" s="51">
        <v>1.59430826E8</v>
      </c>
    </row>
    <row r="62" ht="15.75" customHeight="1">
      <c r="A62" s="50" t="s">
        <v>24</v>
      </c>
      <c r="B62" s="51">
        <v>2.379877655E9</v>
      </c>
    </row>
    <row r="63" ht="15.75" customHeight="1">
      <c r="A63" s="50" t="s">
        <v>32</v>
      </c>
      <c r="B63" s="51">
        <v>4.566445852E9</v>
      </c>
    </row>
    <row r="64" ht="15.75" customHeight="1">
      <c r="A64" s="50" t="s">
        <v>82</v>
      </c>
      <c r="B64" s="51">
        <v>2.75005663E8</v>
      </c>
    </row>
    <row r="65" ht="15.75" customHeight="1">
      <c r="A65" s="50" t="s">
        <v>30</v>
      </c>
      <c r="B65" s="51">
        <v>8.00010734E8</v>
      </c>
    </row>
    <row r="66" ht="15.75" customHeight="1">
      <c r="A66" s="50" t="s">
        <v>144</v>
      </c>
      <c r="B66" s="51">
        <v>3.09729428E8</v>
      </c>
    </row>
    <row r="67" ht="15.75" customHeight="1">
      <c r="A67" s="50" t="s">
        <v>88</v>
      </c>
      <c r="B67" s="51">
        <v>1.275798515E9</v>
      </c>
    </row>
    <row r="68" ht="15.75" customHeight="1">
      <c r="A68" s="50" t="s">
        <v>102</v>
      </c>
      <c r="B68" s="51">
        <v>1.193047233E9</v>
      </c>
    </row>
    <row r="69" ht="15.75" customHeight="1">
      <c r="A69" s="50" t="s">
        <v>40</v>
      </c>
      <c r="B69" s="51">
        <v>1.168230366E9</v>
      </c>
    </row>
    <row r="70" ht="15.75" customHeight="1">
      <c r="A70" s="50" t="s">
        <v>70</v>
      </c>
      <c r="B70" s="51">
        <v>1.218352541E9</v>
      </c>
    </row>
    <row r="71" ht="15.75" customHeight="1">
      <c r="A71" s="50" t="s">
        <v>114</v>
      </c>
      <c r="B71" s="51">
        <v>3.40001799E8</v>
      </c>
    </row>
    <row r="72" ht="15.75" customHeight="1">
      <c r="A72" s="50" t="s">
        <v>197</v>
      </c>
      <c r="B72" s="51">
        <v>3.42918449E8</v>
      </c>
    </row>
    <row r="73" ht="15.75" customHeight="1">
      <c r="A73" s="50" t="s">
        <v>165</v>
      </c>
      <c r="B73" s="51">
        <v>1.4237733E8</v>
      </c>
    </row>
    <row r="74" ht="15.75" customHeight="1">
      <c r="A74" s="50" t="s">
        <v>50</v>
      </c>
      <c r="B74" s="51">
        <v>6.00865451E8</v>
      </c>
    </row>
    <row r="75" ht="15.75" customHeight="1">
      <c r="A75" s="50" t="s">
        <v>126</v>
      </c>
      <c r="B75" s="51">
        <v>1.9575113E8</v>
      </c>
    </row>
    <row r="76" ht="15.75" customHeight="1">
      <c r="A76" s="50" t="s">
        <v>26</v>
      </c>
      <c r="B76" s="51">
        <v>6.83452836E8</v>
      </c>
    </row>
    <row r="77" ht="15.75" customHeight="1">
      <c r="A77" s="50" t="s">
        <v>198</v>
      </c>
      <c r="B77" s="51">
        <v>2.18568234E8</v>
      </c>
    </row>
    <row r="78" ht="15.75" customHeight="1">
      <c r="A78" s="50" t="s">
        <v>68</v>
      </c>
      <c r="B78" s="51">
        <v>4.23091712E8</v>
      </c>
    </row>
    <row r="79" ht="15.75" customHeight="1">
      <c r="A79" s="50" t="s">
        <v>76</v>
      </c>
      <c r="B79" s="51">
        <v>8.07896814E8</v>
      </c>
    </row>
    <row r="80" ht="15.75" customHeight="1">
      <c r="A80" s="50" t="s">
        <v>116</v>
      </c>
      <c r="B80" s="51">
        <v>5.14122351E8</v>
      </c>
    </row>
    <row r="81" ht="15.75" customHeight="1">
      <c r="A81" s="50" t="s">
        <v>134</v>
      </c>
      <c r="B81" s="51">
        <v>3.95801044E8</v>
      </c>
    </row>
    <row r="82" ht="15.75" customHeight="1">
      <c r="A82" s="50" t="s">
        <v>54</v>
      </c>
      <c r="B82" s="51">
        <v>1.086411192E9</v>
      </c>
    </row>
    <row r="83" ht="15.75" customHeight="1">
      <c r="A83" s="50" t="s">
        <v>20</v>
      </c>
      <c r="B83" s="51">
        <v>5.15117391E8</v>
      </c>
    </row>
    <row r="84" ht="15.75" customHeight="1">
      <c r="A84" s="50" t="s">
        <v>34</v>
      </c>
      <c r="B84" s="51">
        <v>4.196924316E9</v>
      </c>
    </row>
    <row r="85" ht="15.75" customHeight="1">
      <c r="A85" s="50" t="s">
        <v>106</v>
      </c>
      <c r="B85" s="51">
        <v>4.2138333E8</v>
      </c>
    </row>
    <row r="86" ht="15.75" customHeight="1">
      <c r="A86" s="50" t="s">
        <v>138</v>
      </c>
      <c r="B86" s="51">
        <v>1.114412532E9</v>
      </c>
    </row>
    <row r="87" ht="15.75" customHeight="1">
      <c r="A87" s="50" t="s">
        <v>124</v>
      </c>
      <c r="B87" s="51">
        <v>1.481593024E9</v>
      </c>
    </row>
    <row r="88" ht="15.75" customHeight="1">
      <c r="A88" s="50" t="s">
        <v>52</v>
      </c>
      <c r="B88" s="51">
        <v>2.89347914E8</v>
      </c>
    </row>
    <row r="89" ht="15.75" customHeight="1">
      <c r="A89" s="50" t="s">
        <v>199</v>
      </c>
      <c r="B89" s="51">
        <v>9.6372098181E10</v>
      </c>
    </row>
    <row r="90" ht="15.75" customHeight="1">
      <c r="A90" s="50" t="s">
        <v>200</v>
      </c>
      <c r="B90" s="52">
        <v>1.70478507866643E7</v>
      </c>
    </row>
    <row r="91" ht="15.75" customHeight="1">
      <c r="A91" s="53"/>
      <c r="B91" s="53"/>
    </row>
    <row r="92" ht="15.75" customHeight="1">
      <c r="A92" s="53"/>
      <c r="B92" s="53"/>
    </row>
    <row r="93" ht="15.75" customHeight="1">
      <c r="A93" s="53"/>
      <c r="B93" s="53"/>
    </row>
    <row r="94" ht="15.75" customHeight="1">
      <c r="A94" s="53"/>
      <c r="B94" s="53"/>
    </row>
    <row r="95" ht="15.75" customHeight="1">
      <c r="A95" s="53"/>
      <c r="B95" s="53"/>
    </row>
    <row r="96" ht="15.75" customHeight="1">
      <c r="A96" s="53"/>
      <c r="B96" s="53"/>
    </row>
    <row r="97" ht="15.75" customHeight="1">
      <c r="A97" s="53"/>
      <c r="B97" s="53"/>
    </row>
    <row r="98" ht="15.75" customHeight="1">
      <c r="A98" s="53"/>
      <c r="B98" s="53"/>
    </row>
    <row r="99" ht="15.75" customHeight="1">
      <c r="A99" s="53"/>
      <c r="B99" s="53"/>
    </row>
    <row r="100" ht="15.75" customHeight="1">
      <c r="A100" s="53"/>
      <c r="B100" s="53"/>
    </row>
    <row r="101" ht="15.75" customHeight="1">
      <c r="A101" s="53"/>
      <c r="B101" s="53"/>
    </row>
    <row r="102" ht="15.75" customHeight="1">
      <c r="A102" s="53"/>
      <c r="B102" s="53"/>
    </row>
    <row r="103" ht="15.75" customHeight="1">
      <c r="A103" s="53"/>
      <c r="B103" s="53"/>
    </row>
    <row r="104" ht="15.75" customHeight="1">
      <c r="A104" s="53"/>
      <c r="B104" s="53"/>
    </row>
    <row r="105" ht="15.75" customHeight="1">
      <c r="A105" s="53"/>
      <c r="B105" s="53"/>
    </row>
    <row r="106" ht="15.75" customHeight="1">
      <c r="A106" s="53"/>
      <c r="B106" s="53"/>
    </row>
    <row r="107" ht="15.75" customHeight="1">
      <c r="A107" s="53"/>
      <c r="B107" s="53"/>
    </row>
    <row r="108" ht="15.75" customHeight="1">
      <c r="A108" s="53"/>
      <c r="B108" s="53"/>
    </row>
    <row r="109" ht="15.75" customHeight="1">
      <c r="A109" s="53"/>
      <c r="B109" s="53"/>
    </row>
    <row r="110" ht="15.75" customHeight="1">
      <c r="A110" s="53"/>
      <c r="B110" s="53"/>
    </row>
    <row r="111" ht="15.75" customHeight="1">
      <c r="A111" s="53"/>
      <c r="B111" s="53"/>
    </row>
    <row r="112" ht="15.75" customHeight="1">
      <c r="A112" s="53"/>
      <c r="B112" s="53"/>
    </row>
    <row r="113" ht="15.75" customHeight="1">
      <c r="A113" s="53"/>
      <c r="B113" s="53"/>
    </row>
    <row r="114" ht="15.75" customHeight="1">
      <c r="A114" s="53"/>
      <c r="B114" s="53"/>
    </row>
    <row r="115" ht="15.75" customHeight="1">
      <c r="A115" s="53"/>
      <c r="B115" s="53"/>
    </row>
    <row r="116" ht="15.75" customHeight="1">
      <c r="A116" s="53"/>
      <c r="B116" s="53"/>
    </row>
    <row r="117" ht="15.75" customHeight="1">
      <c r="A117" s="53"/>
      <c r="B117" s="53"/>
    </row>
    <row r="118" ht="15.75" customHeight="1">
      <c r="A118" s="53"/>
      <c r="B118" s="53"/>
    </row>
    <row r="119" ht="15.75" customHeight="1">
      <c r="A119" s="53"/>
      <c r="B119" s="53"/>
    </row>
    <row r="120" ht="15.75" customHeight="1">
      <c r="A120" s="53"/>
      <c r="B120" s="53"/>
    </row>
    <row r="121" ht="15.75" customHeight="1">
      <c r="A121" s="53"/>
      <c r="B121" s="53"/>
    </row>
    <row r="122" ht="15.75" customHeight="1">
      <c r="A122" s="53"/>
      <c r="B122" s="53"/>
    </row>
    <row r="123" ht="15.75" customHeight="1">
      <c r="A123" s="53"/>
      <c r="B123" s="53"/>
    </row>
    <row r="124" ht="15.75" customHeight="1">
      <c r="A124" s="53"/>
      <c r="B124" s="53"/>
    </row>
    <row r="125" ht="15.75" customHeight="1">
      <c r="A125" s="53"/>
      <c r="B125" s="53"/>
    </row>
    <row r="126" ht="15.75" customHeight="1">
      <c r="A126" s="53"/>
      <c r="B126" s="53"/>
    </row>
    <row r="127" ht="15.75" customHeight="1">
      <c r="A127" s="53"/>
      <c r="B127" s="53"/>
    </row>
    <row r="128" ht="15.75" customHeight="1">
      <c r="A128" s="53"/>
      <c r="B128" s="53"/>
    </row>
    <row r="129" ht="15.75" customHeight="1">
      <c r="A129" s="53"/>
      <c r="B129" s="53"/>
    </row>
    <row r="130" ht="15.75" customHeight="1">
      <c r="A130" s="53"/>
      <c r="B130" s="53"/>
    </row>
    <row r="131" ht="15.75" customHeight="1">
      <c r="A131" s="53"/>
      <c r="B131" s="53"/>
    </row>
    <row r="132" ht="15.75" customHeight="1">
      <c r="A132" s="53"/>
      <c r="B132" s="53"/>
    </row>
    <row r="133" ht="15.75" customHeight="1">
      <c r="A133" s="53"/>
      <c r="B133" s="53"/>
    </row>
    <row r="134" ht="15.75" customHeight="1">
      <c r="A134" s="53"/>
      <c r="B134" s="53"/>
    </row>
    <row r="135" ht="15.75" customHeight="1">
      <c r="A135" s="53"/>
      <c r="B135" s="53"/>
    </row>
    <row r="136" ht="15.75" customHeight="1">
      <c r="A136" s="53"/>
      <c r="B136" s="53"/>
    </row>
    <row r="137" ht="15.75" customHeight="1">
      <c r="A137" s="53"/>
      <c r="B137" s="53"/>
    </row>
    <row r="138" ht="15.75" customHeight="1">
      <c r="A138" s="53"/>
      <c r="B138" s="53"/>
    </row>
    <row r="139" ht="15.75" customHeight="1">
      <c r="A139" s="53"/>
      <c r="B139" s="53"/>
    </row>
    <row r="140" ht="15.75" customHeight="1">
      <c r="A140" s="53"/>
      <c r="B140" s="53"/>
    </row>
    <row r="141" ht="15.75" customHeight="1">
      <c r="A141" s="53"/>
      <c r="B141" s="53"/>
    </row>
    <row r="142" ht="15.75" customHeight="1">
      <c r="A142" s="53"/>
      <c r="B142" s="53"/>
    </row>
    <row r="143" ht="15.75" customHeight="1">
      <c r="A143" s="53"/>
      <c r="B143" s="53"/>
    </row>
    <row r="144" ht="15.75" customHeight="1">
      <c r="A144" s="53"/>
      <c r="B144" s="53"/>
    </row>
    <row r="145" ht="15.75" customHeight="1">
      <c r="A145" s="53"/>
      <c r="B145" s="53"/>
    </row>
    <row r="146" ht="15.75" customHeight="1">
      <c r="A146" s="53"/>
      <c r="B146" s="53"/>
    </row>
    <row r="147" ht="15.75" customHeight="1">
      <c r="A147" s="53"/>
      <c r="B147" s="53"/>
    </row>
    <row r="148" ht="15.75" customHeight="1">
      <c r="A148" s="53"/>
      <c r="B148" s="53"/>
    </row>
    <row r="149" ht="15.75" customHeight="1">
      <c r="A149" s="53"/>
      <c r="B149" s="53"/>
    </row>
    <row r="150" ht="15.75" customHeight="1">
      <c r="A150" s="53"/>
      <c r="B150" s="53"/>
    </row>
    <row r="151" ht="15.75" customHeight="1">
      <c r="A151" s="53"/>
      <c r="B151" s="53"/>
    </row>
    <row r="152" ht="15.75" customHeight="1">
      <c r="A152" s="53"/>
      <c r="B152" s="53"/>
    </row>
    <row r="153" ht="15.75" customHeight="1">
      <c r="A153" s="53"/>
      <c r="B153" s="53"/>
    </row>
    <row r="154" ht="15.75" customHeight="1">
      <c r="A154" s="53"/>
      <c r="B154" s="53"/>
    </row>
    <row r="155" ht="15.75" customHeight="1">
      <c r="A155" s="53"/>
      <c r="B155" s="53"/>
    </row>
    <row r="156" ht="15.75" customHeight="1">
      <c r="A156" s="53"/>
      <c r="B156" s="53"/>
    </row>
    <row r="157" ht="15.75" customHeight="1">
      <c r="A157" s="53"/>
      <c r="B157" s="53"/>
    </row>
    <row r="158" ht="15.75" customHeight="1">
      <c r="A158" s="53"/>
      <c r="B158" s="53"/>
    </row>
    <row r="159" ht="15.75" customHeight="1">
      <c r="A159" s="53"/>
      <c r="B159" s="53"/>
    </row>
    <row r="160" ht="15.75" customHeight="1">
      <c r="A160" s="53"/>
      <c r="B160" s="53"/>
    </row>
    <row r="161" ht="15.75" customHeight="1">
      <c r="A161" s="53"/>
      <c r="B161" s="53"/>
    </row>
    <row r="162" ht="15.75" customHeight="1">
      <c r="A162" s="53"/>
      <c r="B162" s="53"/>
    </row>
    <row r="163" ht="15.75" customHeight="1">
      <c r="A163" s="53"/>
      <c r="B163" s="53"/>
    </row>
    <row r="164" ht="15.75" customHeight="1">
      <c r="A164" s="53"/>
      <c r="B164" s="53"/>
    </row>
    <row r="165" ht="15.75" customHeight="1">
      <c r="A165" s="53"/>
      <c r="B165" s="53"/>
    </row>
    <row r="166" ht="15.75" customHeight="1">
      <c r="A166" s="53"/>
      <c r="B166" s="53"/>
    </row>
    <row r="167" ht="15.75" customHeight="1">
      <c r="A167" s="53"/>
      <c r="B167" s="53"/>
    </row>
    <row r="168" ht="15.75" customHeight="1">
      <c r="A168" s="53"/>
      <c r="B168" s="53"/>
    </row>
    <row r="169" ht="15.75" customHeight="1">
      <c r="A169" s="53"/>
      <c r="B169" s="53"/>
    </row>
    <row r="170" ht="15.75" customHeight="1">
      <c r="A170" s="53"/>
      <c r="B170" s="53"/>
    </row>
    <row r="171" ht="15.75" customHeight="1">
      <c r="A171" s="53"/>
      <c r="B171" s="53"/>
    </row>
    <row r="172" ht="15.75" customHeight="1">
      <c r="A172" s="53"/>
      <c r="B172" s="53"/>
    </row>
    <row r="173" ht="15.75" customHeight="1">
      <c r="A173" s="53"/>
      <c r="B173" s="53"/>
    </row>
    <row r="174" ht="15.75" customHeight="1">
      <c r="A174" s="53"/>
      <c r="B174" s="53"/>
    </row>
    <row r="175" ht="15.75" customHeight="1">
      <c r="A175" s="53"/>
      <c r="B175" s="53"/>
    </row>
    <row r="176" ht="15.75" customHeight="1">
      <c r="A176" s="53"/>
      <c r="B176" s="53"/>
    </row>
    <row r="177" ht="15.75" customHeight="1">
      <c r="A177" s="53"/>
      <c r="B177" s="53"/>
    </row>
    <row r="178" ht="15.75" customHeight="1">
      <c r="A178" s="53"/>
      <c r="B178" s="53"/>
    </row>
    <row r="179" ht="15.75" customHeight="1">
      <c r="A179" s="53"/>
      <c r="B179" s="53"/>
    </row>
    <row r="180" ht="15.75" customHeight="1">
      <c r="A180" s="53"/>
      <c r="B180" s="53"/>
    </row>
    <row r="181" ht="15.75" customHeight="1">
      <c r="A181" s="53"/>
      <c r="B181" s="53"/>
    </row>
    <row r="182" ht="15.75" customHeight="1">
      <c r="A182" s="53"/>
      <c r="B182" s="53"/>
    </row>
    <row r="183" ht="15.75" customHeight="1">
      <c r="A183" s="53"/>
      <c r="B183" s="53"/>
    </row>
    <row r="184" ht="15.75" customHeight="1">
      <c r="A184" s="53"/>
      <c r="B184" s="53"/>
    </row>
    <row r="185" ht="15.75" customHeight="1">
      <c r="A185" s="53"/>
      <c r="B185" s="53"/>
    </row>
    <row r="186" ht="15.75" customHeight="1">
      <c r="A186" s="53"/>
      <c r="B186" s="53"/>
    </row>
    <row r="187" ht="15.75" customHeight="1">
      <c r="A187" s="53"/>
      <c r="B187" s="53"/>
    </row>
    <row r="188" ht="15.75" customHeight="1">
      <c r="A188" s="53"/>
      <c r="B188" s="53"/>
    </row>
    <row r="189" ht="15.75" customHeight="1">
      <c r="A189" s="53"/>
      <c r="B189" s="53"/>
    </row>
    <row r="190" ht="15.75" customHeight="1">
      <c r="A190" s="53"/>
      <c r="B190" s="53"/>
    </row>
    <row r="191" ht="15.75" customHeight="1">
      <c r="A191" s="53"/>
      <c r="B191" s="53"/>
    </row>
    <row r="192" ht="15.75" customHeight="1">
      <c r="A192" s="53"/>
      <c r="B192" s="53"/>
    </row>
    <row r="193" ht="15.75" customHeight="1">
      <c r="A193" s="53"/>
      <c r="B193" s="53"/>
    </row>
    <row r="194" ht="15.75" customHeight="1">
      <c r="A194" s="53"/>
      <c r="B194" s="53"/>
    </row>
    <row r="195" ht="15.75" customHeight="1">
      <c r="A195" s="53"/>
      <c r="B195" s="53"/>
    </row>
    <row r="196" ht="15.75" customHeight="1">
      <c r="A196" s="53"/>
      <c r="B196" s="53"/>
    </row>
    <row r="197" ht="15.75" customHeight="1">
      <c r="A197" s="53"/>
      <c r="B197" s="53"/>
    </row>
    <row r="198" ht="15.75" customHeight="1">
      <c r="A198" s="53"/>
      <c r="B198" s="53"/>
    </row>
    <row r="199" ht="15.75" customHeight="1">
      <c r="A199" s="53"/>
      <c r="B199" s="53"/>
    </row>
    <row r="200" ht="15.75" customHeight="1">
      <c r="A200" s="53"/>
      <c r="B200" s="53"/>
    </row>
    <row r="201" ht="15.75" customHeight="1">
      <c r="A201" s="53"/>
      <c r="B201" s="53"/>
    </row>
    <row r="202" ht="15.75" customHeight="1">
      <c r="A202" s="53"/>
      <c r="B202" s="53"/>
    </row>
    <row r="203" ht="15.75" customHeight="1">
      <c r="A203" s="53"/>
      <c r="B203" s="53"/>
    </row>
    <row r="204" ht="15.75" customHeight="1">
      <c r="A204" s="53"/>
      <c r="B204" s="53"/>
    </row>
    <row r="205" ht="15.75" customHeight="1">
      <c r="A205" s="53"/>
      <c r="B205" s="53"/>
    </row>
    <row r="206" ht="15.75" customHeight="1">
      <c r="A206" s="53"/>
      <c r="B206" s="53"/>
    </row>
    <row r="207" ht="15.75" customHeight="1">
      <c r="A207" s="53"/>
      <c r="B207" s="53"/>
    </row>
    <row r="208" ht="15.75" customHeight="1">
      <c r="A208" s="53"/>
      <c r="B208" s="53"/>
    </row>
    <row r="209" ht="15.75" customHeight="1">
      <c r="A209" s="53"/>
      <c r="B209" s="53"/>
    </row>
    <row r="210" ht="15.75" customHeight="1">
      <c r="A210" s="53"/>
      <c r="B210" s="53"/>
    </row>
    <row r="211" ht="15.75" customHeight="1">
      <c r="A211" s="53"/>
      <c r="B211" s="53"/>
    </row>
    <row r="212" ht="15.75" customHeight="1">
      <c r="A212" s="53"/>
      <c r="B212" s="53"/>
    </row>
    <row r="213" ht="15.75" customHeight="1">
      <c r="A213" s="53"/>
      <c r="B213" s="53"/>
    </row>
    <row r="214" ht="15.75" customHeight="1">
      <c r="A214" s="53"/>
      <c r="B214" s="53"/>
    </row>
    <row r="215" ht="15.75" customHeight="1">
      <c r="A215" s="53"/>
      <c r="B215" s="53"/>
    </row>
    <row r="216" ht="15.75" customHeight="1">
      <c r="A216" s="53"/>
      <c r="B216" s="53"/>
    </row>
    <row r="217" ht="15.75" customHeight="1">
      <c r="A217" s="53"/>
      <c r="B217" s="53"/>
    </row>
    <row r="218" ht="15.75" customHeight="1">
      <c r="A218" s="53"/>
      <c r="B218" s="53"/>
    </row>
    <row r="219" ht="15.75" customHeight="1">
      <c r="A219" s="53"/>
      <c r="B219" s="53"/>
    </row>
    <row r="220" ht="15.75" customHeight="1">
      <c r="A220" s="53"/>
      <c r="B220" s="53"/>
    </row>
    <row r="221" ht="15.75" customHeight="1">
      <c r="A221" s="53"/>
      <c r="B221" s="53"/>
    </row>
    <row r="222" ht="15.75" customHeight="1">
      <c r="A222" s="53"/>
      <c r="B222" s="53"/>
    </row>
    <row r="223" ht="15.75" customHeight="1">
      <c r="A223" s="53"/>
      <c r="B223" s="53"/>
    </row>
    <row r="224" ht="15.75" customHeight="1">
      <c r="A224" s="53"/>
      <c r="B224" s="53"/>
    </row>
    <row r="225" ht="15.75" customHeight="1">
      <c r="A225" s="53"/>
      <c r="B225" s="53"/>
    </row>
    <row r="226" ht="15.75" customHeight="1">
      <c r="A226" s="53"/>
      <c r="B226" s="53"/>
    </row>
    <row r="227" ht="15.75" customHeight="1">
      <c r="A227" s="53"/>
      <c r="B227" s="53"/>
    </row>
    <row r="228" ht="15.75" customHeight="1">
      <c r="A228" s="53"/>
      <c r="B228" s="53"/>
    </row>
    <row r="229" ht="15.75" customHeight="1">
      <c r="A229" s="53"/>
      <c r="B229" s="53"/>
    </row>
    <row r="230" ht="15.75" customHeight="1">
      <c r="A230" s="53"/>
      <c r="B230" s="53"/>
    </row>
    <row r="231" ht="15.75" customHeight="1">
      <c r="A231" s="53"/>
      <c r="B231" s="53"/>
    </row>
    <row r="232" ht="15.75" customHeight="1">
      <c r="A232" s="53"/>
      <c r="B232" s="53"/>
    </row>
    <row r="233" ht="15.75" customHeight="1">
      <c r="A233" s="53"/>
      <c r="B233" s="53"/>
    </row>
    <row r="234" ht="15.75" customHeight="1">
      <c r="A234" s="53"/>
      <c r="B234" s="53"/>
    </row>
    <row r="235" ht="15.75" customHeight="1">
      <c r="A235" s="53"/>
      <c r="B235" s="53"/>
    </row>
    <row r="236" ht="15.75" customHeight="1">
      <c r="A236" s="53"/>
      <c r="B236" s="53"/>
    </row>
    <row r="237" ht="15.75" customHeight="1">
      <c r="A237" s="53"/>
      <c r="B237" s="53"/>
    </row>
    <row r="238" ht="15.75" customHeight="1">
      <c r="A238" s="53"/>
      <c r="B238" s="53"/>
    </row>
    <row r="239" ht="15.75" customHeight="1">
      <c r="A239" s="53"/>
      <c r="B239" s="53"/>
    </row>
    <row r="240" ht="15.75" customHeight="1">
      <c r="A240" s="53"/>
      <c r="B240" s="53"/>
    </row>
    <row r="241" ht="15.75" customHeight="1">
      <c r="A241" s="53"/>
      <c r="B241" s="53"/>
    </row>
    <row r="242" ht="15.75" customHeight="1">
      <c r="A242" s="53"/>
      <c r="B242" s="53"/>
    </row>
    <row r="243" ht="15.75" customHeight="1">
      <c r="A243" s="53"/>
      <c r="B243" s="53"/>
    </row>
    <row r="244" ht="15.75" customHeight="1">
      <c r="A244" s="53"/>
      <c r="B244" s="53"/>
    </row>
    <row r="245" ht="15.75" customHeight="1">
      <c r="A245" s="53"/>
      <c r="B245" s="53"/>
    </row>
    <row r="246" ht="15.75" customHeight="1">
      <c r="A246" s="53"/>
      <c r="B246" s="53"/>
    </row>
    <row r="247" ht="15.75" customHeight="1">
      <c r="A247" s="53"/>
      <c r="B247" s="53"/>
    </row>
    <row r="248" ht="15.75" customHeight="1">
      <c r="A248" s="53"/>
      <c r="B248" s="53"/>
    </row>
    <row r="249" ht="15.75" customHeight="1">
      <c r="A249" s="53"/>
      <c r="B249" s="53"/>
    </row>
    <row r="250" ht="15.75" customHeight="1">
      <c r="A250" s="53"/>
      <c r="B250" s="53"/>
    </row>
    <row r="251" ht="15.75" customHeight="1">
      <c r="A251" s="53"/>
      <c r="B251" s="53"/>
    </row>
    <row r="252" ht="15.75" customHeight="1">
      <c r="A252" s="53"/>
      <c r="B252" s="53"/>
    </row>
    <row r="253" ht="15.75" customHeight="1">
      <c r="A253" s="53"/>
      <c r="B253" s="53"/>
    </row>
    <row r="254" ht="15.75" customHeight="1">
      <c r="A254" s="53"/>
      <c r="B254" s="53"/>
    </row>
    <row r="255" ht="15.75" customHeight="1">
      <c r="A255" s="53"/>
      <c r="B255" s="53"/>
    </row>
    <row r="256" ht="15.75" customHeight="1">
      <c r="A256" s="53"/>
      <c r="B256" s="53"/>
    </row>
    <row r="257" ht="15.75" customHeight="1">
      <c r="A257" s="53"/>
      <c r="B257" s="53"/>
    </row>
    <row r="258" ht="15.75" customHeight="1">
      <c r="A258" s="53"/>
      <c r="B258" s="53"/>
    </row>
    <row r="259" ht="15.75" customHeight="1">
      <c r="A259" s="53"/>
      <c r="B259" s="53"/>
    </row>
    <row r="260" ht="15.75" customHeight="1">
      <c r="A260" s="53"/>
      <c r="B260" s="53"/>
    </row>
    <row r="261" ht="15.75" customHeight="1">
      <c r="A261" s="53"/>
      <c r="B261" s="53"/>
    </row>
    <row r="262" ht="15.75" customHeight="1">
      <c r="A262" s="53"/>
      <c r="B262" s="53"/>
    </row>
    <row r="263" ht="15.75" customHeight="1">
      <c r="A263" s="53"/>
      <c r="B263" s="53"/>
    </row>
    <row r="264" ht="15.75" customHeight="1">
      <c r="A264" s="53"/>
      <c r="B264" s="53"/>
    </row>
    <row r="265" ht="15.75" customHeight="1">
      <c r="A265" s="53"/>
      <c r="B265" s="53"/>
    </row>
    <row r="266" ht="15.75" customHeight="1">
      <c r="A266" s="53"/>
      <c r="B266" s="53"/>
    </row>
    <row r="267" ht="15.75" customHeight="1">
      <c r="A267" s="53"/>
      <c r="B267" s="53"/>
    </row>
    <row r="268" ht="15.75" customHeight="1">
      <c r="A268" s="53"/>
      <c r="B268" s="53"/>
    </row>
    <row r="269" ht="15.75" customHeight="1">
      <c r="A269" s="53"/>
      <c r="B269" s="53"/>
    </row>
    <row r="270" ht="15.75" customHeight="1">
      <c r="A270" s="53"/>
      <c r="B270" s="53"/>
    </row>
    <row r="271" ht="15.75" customHeight="1">
      <c r="A271" s="53"/>
      <c r="B271" s="53"/>
    </row>
    <row r="272" ht="15.75" customHeight="1">
      <c r="A272" s="53"/>
      <c r="B272" s="53"/>
    </row>
    <row r="273" ht="15.75" customHeight="1">
      <c r="A273" s="53"/>
      <c r="B273" s="53"/>
    </row>
    <row r="274" ht="15.75" customHeight="1">
      <c r="A274" s="53"/>
      <c r="B274" s="53"/>
    </row>
    <row r="275" ht="15.75" customHeight="1">
      <c r="A275" s="53"/>
      <c r="B275" s="53"/>
    </row>
    <row r="276" ht="15.75" customHeight="1">
      <c r="A276" s="53"/>
      <c r="B276" s="53"/>
    </row>
    <row r="277" ht="15.75" customHeight="1">
      <c r="A277" s="53"/>
      <c r="B277" s="53"/>
    </row>
    <row r="278" ht="15.75" customHeight="1">
      <c r="A278" s="53"/>
      <c r="B278" s="53"/>
    </row>
    <row r="279" ht="15.75" customHeight="1">
      <c r="A279" s="53"/>
      <c r="B279" s="53"/>
    </row>
    <row r="280" ht="15.75" customHeight="1">
      <c r="A280" s="53"/>
      <c r="B280" s="53"/>
    </row>
    <row r="281" ht="15.75" customHeight="1">
      <c r="A281" s="53"/>
      <c r="B281" s="53"/>
    </row>
    <row r="282" ht="15.75" customHeight="1">
      <c r="A282" s="53"/>
      <c r="B282" s="53"/>
    </row>
    <row r="283" ht="15.75" customHeight="1">
      <c r="A283" s="53"/>
      <c r="B283" s="53"/>
    </row>
    <row r="284" ht="15.75" customHeight="1">
      <c r="A284" s="53"/>
      <c r="B284" s="53"/>
    </row>
    <row r="285" ht="15.75" customHeight="1">
      <c r="A285" s="53"/>
      <c r="B285" s="53"/>
    </row>
    <row r="286" ht="15.75" customHeight="1">
      <c r="A286" s="53"/>
      <c r="B286" s="53"/>
    </row>
    <row r="287" ht="15.75" customHeight="1">
      <c r="A287" s="53"/>
      <c r="B287" s="53"/>
    </row>
    <row r="288" ht="15.75" customHeight="1">
      <c r="A288" s="53"/>
      <c r="B288" s="53"/>
    </row>
    <row r="289" ht="15.75" customHeight="1">
      <c r="A289" s="53"/>
      <c r="B289" s="53"/>
    </row>
    <row r="290" ht="15.75" customHeight="1">
      <c r="A290" s="53"/>
      <c r="B290" s="53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54" t="s">
        <v>201</v>
      </c>
      <c r="B1" s="54" t="s">
        <v>202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" t="s">
        <v>96</v>
      </c>
      <c r="B2" s="5" t="s">
        <v>203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14" t="s">
        <v>167</v>
      </c>
      <c r="B3" s="14" t="s">
        <v>204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" t="s">
        <v>32</v>
      </c>
      <c r="B4" s="5" t="s">
        <v>205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14" t="s">
        <v>161</v>
      </c>
      <c r="B5" s="14" t="s">
        <v>206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" t="s">
        <v>20</v>
      </c>
      <c r="B6" s="5" t="s">
        <v>207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14" t="s">
        <v>177</v>
      </c>
      <c r="B7" s="14" t="s">
        <v>208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" t="s">
        <v>72</v>
      </c>
      <c r="B8" s="5" t="s">
        <v>209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14" t="s">
        <v>34</v>
      </c>
      <c r="B9" s="14" t="s">
        <v>210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" t="s">
        <v>179</v>
      </c>
      <c r="B10" s="5" t="s">
        <v>211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14" t="s">
        <v>60</v>
      </c>
      <c r="B11" s="14" t="s">
        <v>212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" t="s">
        <v>44</v>
      </c>
      <c r="B12" s="5" t="s">
        <v>213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14" t="s">
        <v>132</v>
      </c>
      <c r="B13" s="14" t="s">
        <v>214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" t="s">
        <v>84</v>
      </c>
      <c r="B14" s="5" t="s">
        <v>215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14" t="s">
        <v>38</v>
      </c>
      <c r="B15" s="14" t="s">
        <v>216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" t="s">
        <v>144</v>
      </c>
      <c r="B16" s="5" t="s">
        <v>217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14" t="s">
        <v>56</v>
      </c>
      <c r="B17" s="14" t="s">
        <v>218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" t="s">
        <v>157</v>
      </c>
      <c r="B18" s="5" t="s">
        <v>219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14" t="s">
        <v>169</v>
      </c>
      <c r="B19" s="14" t="s">
        <v>220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" t="s">
        <v>48</v>
      </c>
      <c r="B20" s="5" t="s">
        <v>221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14" t="s">
        <v>175</v>
      </c>
      <c r="B21" s="14" t="s">
        <v>222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" t="s">
        <v>223</v>
      </c>
      <c r="B22" s="5" t="s">
        <v>224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14" t="s">
        <v>225</v>
      </c>
      <c r="B23" s="14" t="s">
        <v>226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" t="s">
        <v>24</v>
      </c>
      <c r="B24" s="5" t="s">
        <v>205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14" t="s">
        <v>80</v>
      </c>
      <c r="B25" s="14" t="s">
        <v>227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" t="s">
        <v>104</v>
      </c>
      <c r="B26" s="5" t="s">
        <v>228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14" t="s">
        <v>229</v>
      </c>
      <c r="B27" s="14" t="s">
        <v>230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" t="s">
        <v>149</v>
      </c>
      <c r="B28" s="5" t="s">
        <v>231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14" t="s">
        <v>86</v>
      </c>
      <c r="B29" s="14" t="s">
        <v>232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" t="s">
        <v>233</v>
      </c>
      <c r="B30" s="5" t="s">
        <v>234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14" t="s">
        <v>70</v>
      </c>
      <c r="B31" s="14" t="s">
        <v>235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" t="s">
        <v>30</v>
      </c>
      <c r="B32" s="5" t="s">
        <v>236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14" t="s">
        <v>237</v>
      </c>
      <c r="B33" s="14" t="s">
        <v>228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" t="s">
        <v>66</v>
      </c>
      <c r="B34" s="5" t="s">
        <v>238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14" t="s">
        <v>110</v>
      </c>
      <c r="B35" s="14" t="s">
        <v>239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" t="s">
        <v>240</v>
      </c>
      <c r="B36" s="5" t="s">
        <v>241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14" t="s">
        <v>242</v>
      </c>
      <c r="B37" s="14" t="s">
        <v>243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" t="s">
        <v>244</v>
      </c>
      <c r="B38" s="5" t="s">
        <v>245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14" t="s">
        <v>50</v>
      </c>
      <c r="B39" s="14" t="s">
        <v>246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" t="s">
        <v>62</v>
      </c>
      <c r="B40" s="5" t="s">
        <v>247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14" t="s">
        <v>159</v>
      </c>
      <c r="B41" s="14" t="s">
        <v>248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" t="s">
        <v>118</v>
      </c>
      <c r="B42" s="5" t="s">
        <v>249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14" t="s">
        <v>250</v>
      </c>
      <c r="B43" s="14" t="s">
        <v>251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" t="s">
        <v>102</v>
      </c>
      <c r="B44" s="5" t="s">
        <v>252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14" t="s">
        <v>64</v>
      </c>
      <c r="B45" s="14" t="s">
        <v>253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" t="s">
        <v>106</v>
      </c>
      <c r="B46" s="5" t="s">
        <v>254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14" t="s">
        <v>100</v>
      </c>
      <c r="B47" s="14" t="s">
        <v>255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" t="s">
        <v>256</v>
      </c>
      <c r="B48" s="5" t="s">
        <v>257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14" t="s">
        <v>22</v>
      </c>
      <c r="B49" s="14" t="s">
        <v>258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" t="s">
        <v>259</v>
      </c>
      <c r="B50" s="5" t="s">
        <v>260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14" t="s">
        <v>261</v>
      </c>
      <c r="B51" s="14" t="s">
        <v>262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" t="s">
        <v>153</v>
      </c>
      <c r="B52" s="5" t="s">
        <v>263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14" t="s">
        <v>264</v>
      </c>
      <c r="B53" s="14" t="s">
        <v>265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" t="s">
        <v>266</v>
      </c>
      <c r="B54" s="5" t="s">
        <v>243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14" t="s">
        <v>108</v>
      </c>
      <c r="B55" s="14" t="s">
        <v>267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" t="s">
        <v>268</v>
      </c>
      <c r="B56" s="5" t="s">
        <v>269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14" t="s">
        <v>88</v>
      </c>
      <c r="B57" s="14" t="s">
        <v>270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" t="s">
        <v>124</v>
      </c>
      <c r="B58" s="5" t="s">
        <v>271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14" t="s">
        <v>54</v>
      </c>
      <c r="B59" s="14" t="s">
        <v>272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" t="s">
        <v>36</v>
      </c>
      <c r="B60" s="5" t="s">
        <v>273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14" t="s">
        <v>90</v>
      </c>
      <c r="B61" s="14" t="s">
        <v>274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" t="s">
        <v>76</v>
      </c>
      <c r="B62" s="5" t="s">
        <v>275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14" t="s">
        <v>276</v>
      </c>
      <c r="B63" s="14" t="s">
        <v>277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" t="s">
        <v>171</v>
      </c>
      <c r="B64" s="5" t="s">
        <v>278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14" t="s">
        <v>58</v>
      </c>
      <c r="B65" s="14" t="s">
        <v>279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" t="s">
        <v>280</v>
      </c>
      <c r="B66" s="5" t="s">
        <v>281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14" t="s">
        <v>163</v>
      </c>
      <c r="B67" s="14" t="s">
        <v>282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" t="s">
        <v>283</v>
      </c>
      <c r="B68" s="5" t="s">
        <v>284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14" t="s">
        <v>98</v>
      </c>
      <c r="B69" s="14" t="s">
        <v>212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" t="s">
        <v>52</v>
      </c>
      <c r="B70" s="5" t="s">
        <v>285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14" t="s">
        <v>286</v>
      </c>
      <c r="B71" s="14" t="s">
        <v>287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" t="s">
        <v>173</v>
      </c>
      <c r="B72" s="5" t="s">
        <v>288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14" t="s">
        <v>26</v>
      </c>
      <c r="B73" s="14" t="s">
        <v>289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" t="s">
        <v>290</v>
      </c>
      <c r="B74" s="5" t="s">
        <v>291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14" t="s">
        <v>78</v>
      </c>
      <c r="B75" s="14" t="s">
        <v>292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" t="s">
        <v>293</v>
      </c>
      <c r="B76" s="5" t="s">
        <v>294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14" t="s">
        <v>112</v>
      </c>
      <c r="B77" s="14" t="s">
        <v>295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" t="s">
        <v>296</v>
      </c>
      <c r="B78" s="5" t="s">
        <v>297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14" t="s">
        <v>298</v>
      </c>
      <c r="B79" s="14" t="s">
        <v>299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" t="s">
        <v>300</v>
      </c>
      <c r="B80" s="56" t="s">
        <v>301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14" t="s">
        <v>302</v>
      </c>
      <c r="B81" s="14" t="s">
        <v>303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" t="s">
        <v>74</v>
      </c>
      <c r="B82" s="5" t="s">
        <v>304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14" t="s">
        <v>46</v>
      </c>
      <c r="B83" s="14" t="s">
        <v>305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" t="s">
        <v>155</v>
      </c>
      <c r="B84" s="5" t="s">
        <v>306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14" t="s">
        <v>142</v>
      </c>
      <c r="B85" s="14" t="s">
        <v>307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" t="s">
        <v>40</v>
      </c>
      <c r="B86" s="5" t="s">
        <v>308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14" t="s">
        <v>165</v>
      </c>
      <c r="B87" s="14" t="s">
        <v>309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" t="s">
        <v>310</v>
      </c>
      <c r="B88" s="5" t="s">
        <v>311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14" t="s">
        <v>312</v>
      </c>
      <c r="B89" s="14" t="s">
        <v>313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" t="s">
        <v>138</v>
      </c>
      <c r="B90" s="5" t="s">
        <v>314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14" t="s">
        <v>315</v>
      </c>
      <c r="B91" s="14" t="s">
        <v>316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" t="s">
        <v>122</v>
      </c>
      <c r="B92" s="5" t="s">
        <v>317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14" t="s">
        <v>82</v>
      </c>
      <c r="B93" s="14" t="s">
        <v>318</v>
      </c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" t="s">
        <v>319</v>
      </c>
      <c r="B94" s="5" t="s">
        <v>320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14" t="s">
        <v>130</v>
      </c>
      <c r="B95" s="14" t="s">
        <v>321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" t="s">
        <v>92</v>
      </c>
      <c r="B96" s="5" t="s">
        <v>322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14" t="s">
        <v>42</v>
      </c>
      <c r="B97" s="14" t="s">
        <v>323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" t="s">
        <v>324</v>
      </c>
      <c r="B98" s="5" t="s">
        <v>325</v>
      </c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14" t="s">
        <v>148</v>
      </c>
      <c r="B99" s="14" t="s">
        <v>326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" t="s">
        <v>327</v>
      </c>
      <c r="B100" s="5" t="s">
        <v>328</v>
      </c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14" t="s">
        <v>329</v>
      </c>
      <c r="B101" s="14" t="s">
        <v>330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" t="s">
        <v>28</v>
      </c>
      <c r="B102" s="5" t="s">
        <v>331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14" t="s">
        <v>332</v>
      </c>
      <c r="B103" s="14" t="s">
        <v>333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" t="s">
        <v>334</v>
      </c>
      <c r="B104" s="5" t="s">
        <v>207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14" t="s">
        <v>140</v>
      </c>
      <c r="B105" s="14" t="s">
        <v>335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" t="s">
        <v>336</v>
      </c>
      <c r="B106" s="5" t="s">
        <v>337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14" t="s">
        <v>338</v>
      </c>
      <c r="B107" s="14" t="s">
        <v>339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" t="s">
        <v>94</v>
      </c>
      <c r="B108" s="5" t="s">
        <v>340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14" t="s">
        <v>114</v>
      </c>
      <c r="B109" s="14" t="s">
        <v>341</v>
      </c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" t="s">
        <v>342</v>
      </c>
      <c r="B110" s="5" t="s">
        <v>343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14" t="s">
        <v>151</v>
      </c>
      <c r="B111" s="14" t="s">
        <v>344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" t="s">
        <v>126</v>
      </c>
      <c r="B112" s="5" t="s">
        <v>345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14" t="s">
        <v>346</v>
      </c>
      <c r="B113" s="14" t="s">
        <v>347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" t="s">
        <v>348</v>
      </c>
      <c r="B114" s="5" t="s">
        <v>349</v>
      </c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14" t="s">
        <v>128</v>
      </c>
      <c r="B115" s="14" t="s">
        <v>128</v>
      </c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" t="s">
        <v>146</v>
      </c>
      <c r="B116" s="5" t="s">
        <v>350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14" t="s">
        <v>116</v>
      </c>
      <c r="B117" s="14" t="s">
        <v>351</v>
      </c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" t="s">
        <v>352</v>
      </c>
      <c r="B118" s="5" t="s">
        <v>353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14" t="s">
        <v>354</v>
      </c>
      <c r="B119" s="14" t="s">
        <v>355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" t="s">
        <v>356</v>
      </c>
      <c r="B120" s="5" t="s">
        <v>357</v>
      </c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14" t="s">
        <v>68</v>
      </c>
      <c r="B121" s="14" t="s">
        <v>358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" t="s">
        <v>359</v>
      </c>
      <c r="B122" s="5" t="s">
        <v>360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14" t="s">
        <v>361</v>
      </c>
      <c r="B123" s="14" t="s">
        <v>362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" t="s">
        <v>363</v>
      </c>
      <c r="B124" s="5" t="s">
        <v>364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14" t="s">
        <v>365</v>
      </c>
      <c r="B125" s="14" t="s">
        <v>366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" t="s">
        <v>367</v>
      </c>
      <c r="B126" s="5" t="s">
        <v>368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14" t="s">
        <v>369</v>
      </c>
      <c r="B127" s="14" t="s">
        <v>370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" t="s">
        <v>371</v>
      </c>
      <c r="B128" s="5" t="s">
        <v>372</v>
      </c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14" t="s">
        <v>373</v>
      </c>
      <c r="B129" s="14" t="s">
        <v>374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" t="s">
        <v>134</v>
      </c>
      <c r="B130" s="5" t="s">
        <v>375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14" t="s">
        <v>136</v>
      </c>
      <c r="B131" s="14" t="s">
        <v>376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" t="s">
        <v>377</v>
      </c>
      <c r="B132" s="5" t="s">
        <v>378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14" t="s">
        <v>379</v>
      </c>
      <c r="B133" s="14" t="s">
        <v>380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" t="s">
        <v>381</v>
      </c>
      <c r="B134" s="5" t="s">
        <v>382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14" t="s">
        <v>383</v>
      </c>
      <c r="B135" s="14" t="s">
        <v>384</v>
      </c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" t="s">
        <v>385</v>
      </c>
      <c r="B136" s="5" t="s">
        <v>386</v>
      </c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14" t="s">
        <v>387</v>
      </c>
      <c r="B137" s="14" t="s">
        <v>388</v>
      </c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" t="s">
        <v>389</v>
      </c>
      <c r="B138" s="5" t="s">
        <v>390</v>
      </c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14" t="s">
        <v>391</v>
      </c>
      <c r="B139" s="14" t="s">
        <v>392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" t="s">
        <v>393</v>
      </c>
      <c r="B140" s="5" t="s">
        <v>394</v>
      </c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14" t="s">
        <v>395</v>
      </c>
      <c r="B141" s="14" t="s">
        <v>396</v>
      </c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" t="s">
        <v>397</v>
      </c>
      <c r="B142" s="5" t="s">
        <v>398</v>
      </c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14" t="s">
        <v>399</v>
      </c>
      <c r="B143" s="14" t="s">
        <v>400</v>
      </c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" t="s">
        <v>401</v>
      </c>
      <c r="B144" s="5" t="s">
        <v>402</v>
      </c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14" t="s">
        <v>403</v>
      </c>
      <c r="B145" s="14" t="s">
        <v>403</v>
      </c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" t="s">
        <v>404</v>
      </c>
      <c r="B146" s="5" t="s">
        <v>405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14" t="s">
        <v>406</v>
      </c>
      <c r="B147" s="14" t="s">
        <v>407</v>
      </c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" t="s">
        <v>408</v>
      </c>
      <c r="B148" s="5" t="s">
        <v>409</v>
      </c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14" t="s">
        <v>410</v>
      </c>
      <c r="B149" s="14" t="s">
        <v>216</v>
      </c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" t="s">
        <v>411</v>
      </c>
      <c r="B150" s="5" t="s">
        <v>412</v>
      </c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14" t="s">
        <v>413</v>
      </c>
      <c r="B151" s="14" t="s">
        <v>414</v>
      </c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" t="s">
        <v>415</v>
      </c>
      <c r="B152" s="5" t="s">
        <v>416</v>
      </c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14" t="s">
        <v>417</v>
      </c>
      <c r="B153" s="14" t="s">
        <v>418</v>
      </c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" t="s">
        <v>419</v>
      </c>
      <c r="B154" s="5" t="s">
        <v>420</v>
      </c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14" t="s">
        <v>421</v>
      </c>
      <c r="B155" s="14" t="s">
        <v>422</v>
      </c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" t="s">
        <v>423</v>
      </c>
      <c r="B156" s="5" t="s">
        <v>424</v>
      </c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14" t="s">
        <v>425</v>
      </c>
      <c r="B157" s="14" t="s">
        <v>426</v>
      </c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" t="s">
        <v>427</v>
      </c>
      <c r="B158" s="5" t="s">
        <v>428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14" t="s">
        <v>429</v>
      </c>
      <c r="B159" s="14" t="s">
        <v>430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" t="s">
        <v>431</v>
      </c>
      <c r="B160" s="5" t="s">
        <v>432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14" t="s">
        <v>433</v>
      </c>
      <c r="B161" s="14" t="s">
        <v>434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" t="s">
        <v>435</v>
      </c>
      <c r="B162" s="5" t="s">
        <v>436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14" t="s">
        <v>437</v>
      </c>
      <c r="B163" s="14" t="s">
        <v>438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" t="s">
        <v>439</v>
      </c>
      <c r="B164" s="5" t="s">
        <v>440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14" t="s">
        <v>441</v>
      </c>
      <c r="B165" s="14" t="s">
        <v>442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" t="s">
        <v>443</v>
      </c>
      <c r="B166" s="5" t="s">
        <v>444</v>
      </c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14" t="s">
        <v>445</v>
      </c>
      <c r="B167" s="14" t="s">
        <v>446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" t="s">
        <v>447</v>
      </c>
      <c r="B168" s="5" t="s">
        <v>448</v>
      </c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14" t="s">
        <v>449</v>
      </c>
      <c r="B169" s="14" t="s">
        <v>450</v>
      </c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" t="s">
        <v>451</v>
      </c>
      <c r="B170" s="5" t="s">
        <v>452</v>
      </c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14" t="s">
        <v>453</v>
      </c>
      <c r="B171" s="14" t="s">
        <v>454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" t="s">
        <v>455</v>
      </c>
      <c r="B172" s="5" t="s">
        <v>249</v>
      </c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14" t="s">
        <v>120</v>
      </c>
      <c r="B173" s="14" t="s">
        <v>307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" t="s">
        <v>456</v>
      </c>
      <c r="B174" s="5" t="s">
        <v>457</v>
      </c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14" t="s">
        <v>458</v>
      </c>
      <c r="B175" s="14" t="s">
        <v>459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" t="s">
        <v>460</v>
      </c>
      <c r="B176" s="5" t="s">
        <v>461</v>
      </c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14" t="s">
        <v>462</v>
      </c>
      <c r="B177" s="14" t="s">
        <v>463</v>
      </c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" t="s">
        <v>464</v>
      </c>
      <c r="B178" s="5" t="s">
        <v>465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14" t="s">
        <v>466</v>
      </c>
      <c r="B179" s="14" t="s">
        <v>467</v>
      </c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" t="s">
        <v>468</v>
      </c>
      <c r="B180" s="5" t="s">
        <v>343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14" t="s">
        <v>469</v>
      </c>
      <c r="B181" s="14" t="s">
        <v>470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" t="s">
        <v>471</v>
      </c>
      <c r="B182" s="5" t="s">
        <v>472</v>
      </c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14" t="s">
        <v>473</v>
      </c>
      <c r="B183" s="14" t="s">
        <v>474</v>
      </c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" t="s">
        <v>475</v>
      </c>
      <c r="B184" s="5" t="s">
        <v>476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14" t="s">
        <v>477</v>
      </c>
      <c r="B185" s="14" t="s">
        <v>478</v>
      </c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" t="s">
        <v>479</v>
      </c>
      <c r="B186" s="5" t="s">
        <v>480</v>
      </c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14" t="s">
        <v>481</v>
      </c>
      <c r="B187" s="14" t="s">
        <v>482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" t="s">
        <v>483</v>
      </c>
      <c r="B188" s="5" t="s">
        <v>484</v>
      </c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14" t="s">
        <v>485</v>
      </c>
      <c r="B189" s="14" t="s">
        <v>486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" t="s">
        <v>487</v>
      </c>
      <c r="B190" s="5" t="s">
        <v>488</v>
      </c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14" t="s">
        <v>489</v>
      </c>
      <c r="B191" s="14" t="s">
        <v>366</v>
      </c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" t="s">
        <v>490</v>
      </c>
      <c r="B192" s="5" t="s">
        <v>400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14" t="s">
        <v>491</v>
      </c>
      <c r="B193" s="14" t="s">
        <v>492</v>
      </c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" t="s">
        <v>493</v>
      </c>
      <c r="B194" s="5" t="s">
        <v>494</v>
      </c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14" t="s">
        <v>495</v>
      </c>
      <c r="B195" s="14" t="s">
        <v>496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" t="s">
        <v>497</v>
      </c>
      <c r="B196" s="5" t="s">
        <v>498</v>
      </c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14" t="s">
        <v>499</v>
      </c>
      <c r="B197" s="14" t="s">
        <v>500</v>
      </c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" t="s">
        <v>501</v>
      </c>
      <c r="B198" s="5" t="s">
        <v>502</v>
      </c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14" t="s">
        <v>503</v>
      </c>
      <c r="B199" s="14" t="s">
        <v>504</v>
      </c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" t="s">
        <v>505</v>
      </c>
      <c r="B200" s="5" t="s">
        <v>506</v>
      </c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14" t="s">
        <v>507</v>
      </c>
      <c r="B201" s="14" t="s">
        <v>508</v>
      </c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" t="s">
        <v>509</v>
      </c>
      <c r="B202" s="5" t="s">
        <v>510</v>
      </c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14" t="s">
        <v>511</v>
      </c>
      <c r="B203" s="14" t="s">
        <v>512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" t="s">
        <v>513</v>
      </c>
      <c r="B204" s="5" t="s">
        <v>514</v>
      </c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14" t="s">
        <v>515</v>
      </c>
      <c r="B205" s="14" t="s">
        <v>516</v>
      </c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" t="s">
        <v>517</v>
      </c>
      <c r="B206" s="5" t="s">
        <v>518</v>
      </c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14" t="s">
        <v>519</v>
      </c>
      <c r="B207" s="14" t="s">
        <v>520</v>
      </c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" t="s">
        <v>521</v>
      </c>
      <c r="B208" s="5" t="s">
        <v>224</v>
      </c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14" t="s">
        <v>522</v>
      </c>
      <c r="B209" s="14" t="s">
        <v>523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" t="s">
        <v>524</v>
      </c>
      <c r="B210" s="5" t="s">
        <v>525</v>
      </c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14" t="s">
        <v>526</v>
      </c>
      <c r="B211" s="14" t="s">
        <v>527</v>
      </c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" t="s">
        <v>528</v>
      </c>
      <c r="B212" s="5" t="s">
        <v>529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14" t="s">
        <v>530</v>
      </c>
      <c r="B213" s="14" t="s">
        <v>531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" t="s">
        <v>532</v>
      </c>
      <c r="B214" s="5" t="s">
        <v>533</v>
      </c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14" t="s">
        <v>534</v>
      </c>
      <c r="B215" s="14" t="s">
        <v>257</v>
      </c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" t="s">
        <v>535</v>
      </c>
      <c r="B216" s="5" t="s">
        <v>536</v>
      </c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14" t="s">
        <v>537</v>
      </c>
      <c r="B217" s="14" t="s">
        <v>538</v>
      </c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" t="s">
        <v>539</v>
      </c>
      <c r="B218" s="5" t="s">
        <v>540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14" t="s">
        <v>541</v>
      </c>
      <c r="B219" s="14" t="s">
        <v>215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" t="s">
        <v>542</v>
      </c>
      <c r="B220" s="5" t="s">
        <v>543</v>
      </c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14" t="s">
        <v>544</v>
      </c>
      <c r="B221" s="14" t="s">
        <v>545</v>
      </c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" t="s">
        <v>544</v>
      </c>
      <c r="B222" s="5" t="s">
        <v>546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14" t="s">
        <v>547</v>
      </c>
      <c r="B223" s="14" t="s">
        <v>548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" t="s">
        <v>549</v>
      </c>
      <c r="B224" s="5" t="s">
        <v>550</v>
      </c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14" t="s">
        <v>551</v>
      </c>
      <c r="B225" s="14" t="s">
        <v>552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" t="s">
        <v>553</v>
      </c>
      <c r="B226" s="5" t="s">
        <v>554</v>
      </c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14" t="s">
        <v>555</v>
      </c>
      <c r="B227" s="14" t="s">
        <v>556</v>
      </c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" t="s">
        <v>557</v>
      </c>
      <c r="B228" s="5" t="s">
        <v>558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14" t="s">
        <v>559</v>
      </c>
      <c r="B229" s="14" t="s">
        <v>560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" t="s">
        <v>561</v>
      </c>
      <c r="B230" s="5" t="s">
        <v>558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14" t="s">
        <v>562</v>
      </c>
      <c r="B231" s="14" t="s">
        <v>563</v>
      </c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" t="s">
        <v>564</v>
      </c>
      <c r="B232" s="5" t="s">
        <v>565</v>
      </c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14" t="s">
        <v>566</v>
      </c>
      <c r="B233" s="14" t="s">
        <v>567</v>
      </c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" t="s">
        <v>568</v>
      </c>
      <c r="B234" s="5" t="s">
        <v>569</v>
      </c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14" t="s">
        <v>570</v>
      </c>
      <c r="B235" s="14" t="s">
        <v>531</v>
      </c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" t="s">
        <v>571</v>
      </c>
      <c r="B236" s="5" t="s">
        <v>572</v>
      </c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14" t="s">
        <v>573</v>
      </c>
      <c r="B237" s="14" t="s">
        <v>574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" t="s">
        <v>575</v>
      </c>
      <c r="B238" s="5" t="s">
        <v>255</v>
      </c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14" t="s">
        <v>576</v>
      </c>
      <c r="B239" s="14" t="s">
        <v>577</v>
      </c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" t="s">
        <v>578</v>
      </c>
      <c r="B240" s="5" t="s">
        <v>548</v>
      </c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14" t="s">
        <v>579</v>
      </c>
      <c r="B241" s="14" t="s">
        <v>580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" t="s">
        <v>581</v>
      </c>
      <c r="B242" s="5" t="s">
        <v>582</v>
      </c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14" t="s">
        <v>583</v>
      </c>
      <c r="B243" s="14" t="s">
        <v>584</v>
      </c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" t="s">
        <v>585</v>
      </c>
      <c r="B244" s="5" t="s">
        <v>274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14" t="s">
        <v>586</v>
      </c>
      <c r="B245" s="14" t="s">
        <v>587</v>
      </c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" t="s">
        <v>588</v>
      </c>
      <c r="B246" s="5" t="s">
        <v>502</v>
      </c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14" t="s">
        <v>589</v>
      </c>
      <c r="B247" s="14" t="s">
        <v>590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" t="s">
        <v>591</v>
      </c>
      <c r="B248" s="5" t="s">
        <v>592</v>
      </c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14" t="s">
        <v>593</v>
      </c>
      <c r="B249" s="14" t="s">
        <v>594</v>
      </c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" t="s">
        <v>595</v>
      </c>
      <c r="B250" s="5" t="s">
        <v>596</v>
      </c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14" t="s">
        <v>597</v>
      </c>
      <c r="B251" s="14" t="s">
        <v>598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" t="s">
        <v>599</v>
      </c>
      <c r="B252" s="5" t="s">
        <v>349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14" t="s">
        <v>600</v>
      </c>
      <c r="B253" s="14" t="s">
        <v>601</v>
      </c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" t="s">
        <v>602</v>
      </c>
      <c r="B254" s="5" t="s">
        <v>603</v>
      </c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14" t="s">
        <v>604</v>
      </c>
      <c r="B255" s="14" t="s">
        <v>605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" t="s">
        <v>606</v>
      </c>
      <c r="B256" s="5" t="s">
        <v>292</v>
      </c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14" t="s">
        <v>607</v>
      </c>
      <c r="B257" s="14" t="s">
        <v>323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" t="s">
        <v>608</v>
      </c>
      <c r="B258" s="5" t="s">
        <v>609</v>
      </c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14" t="s">
        <v>610</v>
      </c>
      <c r="B259" s="14" t="s">
        <v>611</v>
      </c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" t="s">
        <v>612</v>
      </c>
      <c r="B260" s="5" t="s">
        <v>603</v>
      </c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14" t="s">
        <v>613</v>
      </c>
      <c r="B261" s="14" t="s">
        <v>614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" t="s">
        <v>615</v>
      </c>
      <c r="B262" s="5" t="s">
        <v>616</v>
      </c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14" t="s">
        <v>617</v>
      </c>
      <c r="B263" s="14" t="s">
        <v>618</v>
      </c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" t="s">
        <v>619</v>
      </c>
      <c r="B264" s="5" t="s">
        <v>620</v>
      </c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14" t="s">
        <v>621</v>
      </c>
      <c r="B265" s="14" t="s">
        <v>622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" t="s">
        <v>623</v>
      </c>
      <c r="B266" s="5" t="s">
        <v>624</v>
      </c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14" t="s">
        <v>625</v>
      </c>
      <c r="B267" s="14" t="s">
        <v>626</v>
      </c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" t="s">
        <v>627</v>
      </c>
      <c r="B268" s="5" t="s">
        <v>527</v>
      </c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14" t="s">
        <v>628</v>
      </c>
      <c r="B269" s="14" t="s">
        <v>629</v>
      </c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" t="s">
        <v>630</v>
      </c>
      <c r="B270" s="5" t="s">
        <v>629</v>
      </c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14" t="s">
        <v>631</v>
      </c>
      <c r="B271" s="14" t="s">
        <v>632</v>
      </c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" t="s">
        <v>633</v>
      </c>
      <c r="B272" s="5" t="s">
        <v>634</v>
      </c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14" t="s">
        <v>635</v>
      </c>
      <c r="B273" s="14" t="s">
        <v>636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" t="s">
        <v>637</v>
      </c>
      <c r="B274" s="5" t="s">
        <v>638</v>
      </c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14" t="s">
        <v>639</v>
      </c>
      <c r="B275" s="14" t="s">
        <v>640</v>
      </c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" t="s">
        <v>641</v>
      </c>
      <c r="B276" s="5" t="s">
        <v>642</v>
      </c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14" t="s">
        <v>643</v>
      </c>
      <c r="B277" s="14" t="s">
        <v>644</v>
      </c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" t="s">
        <v>645</v>
      </c>
      <c r="B278" s="5" t="s">
        <v>646</v>
      </c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14" t="s">
        <v>647</v>
      </c>
      <c r="B279" s="14" t="s">
        <v>644</v>
      </c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" t="s">
        <v>648</v>
      </c>
      <c r="B280" s="5" t="s">
        <v>508</v>
      </c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14" t="s">
        <v>649</v>
      </c>
      <c r="B281" s="14" t="s">
        <v>650</v>
      </c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" t="s">
        <v>651</v>
      </c>
      <c r="B282" s="5" t="s">
        <v>644</v>
      </c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14" t="s">
        <v>652</v>
      </c>
      <c r="B283" s="14" t="s">
        <v>653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" t="s">
        <v>654</v>
      </c>
      <c r="B284" s="5" t="s">
        <v>386</v>
      </c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14" t="s">
        <v>655</v>
      </c>
      <c r="B285" s="14" t="s">
        <v>656</v>
      </c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" t="s">
        <v>657</v>
      </c>
      <c r="B286" s="5" t="s">
        <v>618</v>
      </c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14" t="s">
        <v>658</v>
      </c>
      <c r="B287" s="14" t="s">
        <v>594</v>
      </c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" t="s">
        <v>659</v>
      </c>
      <c r="B288" s="5" t="s">
        <v>660</v>
      </c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14" t="s">
        <v>661</v>
      </c>
      <c r="B289" s="14" t="s">
        <v>662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" t="s">
        <v>663</v>
      </c>
      <c r="B290" s="5" t="s">
        <v>664</v>
      </c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14" t="s">
        <v>665</v>
      </c>
      <c r="B291" s="14" t="s">
        <v>666</v>
      </c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" t="s">
        <v>667</v>
      </c>
      <c r="B292" s="5" t="s">
        <v>668</v>
      </c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14" t="s">
        <v>669</v>
      </c>
      <c r="B293" s="14" t="s">
        <v>670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" t="s">
        <v>671</v>
      </c>
      <c r="B294" s="5" t="s">
        <v>672</v>
      </c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14" t="s">
        <v>673</v>
      </c>
      <c r="B295" s="14" t="s">
        <v>674</v>
      </c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" t="s">
        <v>675</v>
      </c>
      <c r="B296" s="5" t="s">
        <v>676</v>
      </c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14" t="s">
        <v>677</v>
      </c>
      <c r="B297" s="14" t="s">
        <v>678</v>
      </c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" t="s">
        <v>679</v>
      </c>
      <c r="B298" s="5" t="s">
        <v>680</v>
      </c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14" t="s">
        <v>681</v>
      </c>
      <c r="B299" s="14" t="s">
        <v>682</v>
      </c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" t="s">
        <v>683</v>
      </c>
      <c r="B300" s="5" t="s">
        <v>684</v>
      </c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14" t="s">
        <v>685</v>
      </c>
      <c r="B301" s="14" t="s">
        <v>686</v>
      </c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" t="s">
        <v>687</v>
      </c>
      <c r="B302" s="5" t="s">
        <v>688</v>
      </c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14" t="s">
        <v>689</v>
      </c>
      <c r="B303" s="14" t="s">
        <v>375</v>
      </c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" t="s">
        <v>690</v>
      </c>
      <c r="B304" s="5" t="s">
        <v>691</v>
      </c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14" t="s">
        <v>692</v>
      </c>
      <c r="B305" s="14" t="s">
        <v>693</v>
      </c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" t="s">
        <v>694</v>
      </c>
      <c r="B306" s="5" t="s">
        <v>695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14" t="s">
        <v>696</v>
      </c>
      <c r="B307" s="14" t="s">
        <v>697</v>
      </c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" t="s">
        <v>698</v>
      </c>
      <c r="B308" s="5" t="s">
        <v>699</v>
      </c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14" t="s">
        <v>700</v>
      </c>
      <c r="B309" s="14" t="s">
        <v>416</v>
      </c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" t="s">
        <v>701</v>
      </c>
      <c r="B310" s="5" t="s">
        <v>702</v>
      </c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14" t="s">
        <v>703</v>
      </c>
      <c r="B311" s="14" t="s">
        <v>660</v>
      </c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" t="s">
        <v>704</v>
      </c>
      <c r="B312" s="5" t="s">
        <v>705</v>
      </c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14" t="s">
        <v>706</v>
      </c>
      <c r="B313" s="14" t="s">
        <v>666</v>
      </c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" t="s">
        <v>707</v>
      </c>
      <c r="B314" s="5" t="s">
        <v>609</v>
      </c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14" t="s">
        <v>708</v>
      </c>
      <c r="B315" s="14" t="s">
        <v>709</v>
      </c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" t="s">
        <v>710</v>
      </c>
      <c r="B316" s="5" t="s">
        <v>711</v>
      </c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14" t="s">
        <v>712</v>
      </c>
      <c r="B317" s="14" t="s">
        <v>713</v>
      </c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" t="s">
        <v>714</v>
      </c>
      <c r="B318" s="5" t="s">
        <v>715</v>
      </c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14" t="s">
        <v>716</v>
      </c>
      <c r="B319" s="14" t="s">
        <v>717</v>
      </c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" t="s">
        <v>718</v>
      </c>
      <c r="B320" s="5" t="s">
        <v>719</v>
      </c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14" t="s">
        <v>720</v>
      </c>
      <c r="B321" s="14" t="s">
        <v>653</v>
      </c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" t="s">
        <v>721</v>
      </c>
      <c r="B322" s="5" t="s">
        <v>722</v>
      </c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14" t="s">
        <v>723</v>
      </c>
      <c r="B323" s="14" t="s">
        <v>724</v>
      </c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" t="s">
        <v>725</v>
      </c>
      <c r="B324" s="5" t="s">
        <v>726</v>
      </c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14" t="s">
        <v>727</v>
      </c>
      <c r="B325" s="14" t="s">
        <v>728</v>
      </c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" t="s">
        <v>729</v>
      </c>
      <c r="B326" s="5" t="s">
        <v>674</v>
      </c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14" t="s">
        <v>730</v>
      </c>
      <c r="B327" s="14" t="s">
        <v>432</v>
      </c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" t="s">
        <v>731</v>
      </c>
      <c r="B328" s="5" t="s">
        <v>732</v>
      </c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14" t="s">
        <v>733</v>
      </c>
      <c r="B329" s="14" t="s">
        <v>634</v>
      </c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" t="s">
        <v>734</v>
      </c>
      <c r="B330" s="5" t="s">
        <v>735</v>
      </c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14" t="s">
        <v>736</v>
      </c>
      <c r="B331" s="14" t="s">
        <v>737</v>
      </c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" t="s">
        <v>738</v>
      </c>
      <c r="B332" s="5" t="s">
        <v>739</v>
      </c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14" t="s">
        <v>740</v>
      </c>
      <c r="B333" s="14" t="s">
        <v>741</v>
      </c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" t="s">
        <v>742</v>
      </c>
      <c r="B334" s="5" t="s">
        <v>743</v>
      </c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14" t="s">
        <v>744</v>
      </c>
      <c r="B335" s="14" t="s">
        <v>636</v>
      </c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" t="s">
        <v>745</v>
      </c>
      <c r="B336" s="5" t="s">
        <v>746</v>
      </c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14" t="s">
        <v>747</v>
      </c>
      <c r="B337" s="14" t="s">
        <v>662</v>
      </c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" t="s">
        <v>748</v>
      </c>
      <c r="B338" s="5" t="s">
        <v>749</v>
      </c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14" t="s">
        <v>750</v>
      </c>
      <c r="B339" s="14" t="s">
        <v>751</v>
      </c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" t="s">
        <v>752</v>
      </c>
      <c r="B340" s="5" t="s">
        <v>753</v>
      </c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14" t="s">
        <v>754</v>
      </c>
      <c r="B341" s="14" t="s">
        <v>722</v>
      </c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" t="s">
        <v>755</v>
      </c>
      <c r="B342" s="5" t="s">
        <v>590</v>
      </c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14" t="s">
        <v>756</v>
      </c>
      <c r="B343" s="14" t="s">
        <v>693</v>
      </c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" t="s">
        <v>757</v>
      </c>
      <c r="B344" s="5" t="s">
        <v>749</v>
      </c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14" t="s">
        <v>758</v>
      </c>
      <c r="B345" s="14" t="s">
        <v>759</v>
      </c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" t="s">
        <v>760</v>
      </c>
      <c r="B346" s="5" t="s">
        <v>761</v>
      </c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14" t="s">
        <v>762</v>
      </c>
      <c r="B347" s="14" t="s">
        <v>763</v>
      </c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" t="s">
        <v>764</v>
      </c>
      <c r="B348" s="5" t="s">
        <v>638</v>
      </c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14" t="s">
        <v>765</v>
      </c>
      <c r="B349" s="14" t="s">
        <v>709</v>
      </c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" t="s">
        <v>766</v>
      </c>
      <c r="B350" s="5" t="s">
        <v>743</v>
      </c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14" t="s">
        <v>767</v>
      </c>
      <c r="B351" s="14" t="s">
        <v>768</v>
      </c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" t="s">
        <v>769</v>
      </c>
      <c r="B352" s="5" t="s">
        <v>770</v>
      </c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14" t="s">
        <v>771</v>
      </c>
      <c r="B353" s="14" t="s">
        <v>228</v>
      </c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" t="s">
        <v>772</v>
      </c>
      <c r="B354" s="5" t="s">
        <v>735</v>
      </c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14" t="s">
        <v>773</v>
      </c>
      <c r="B355" s="14" t="s">
        <v>567</v>
      </c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" t="s">
        <v>774</v>
      </c>
      <c r="B356" s="5" t="s">
        <v>540</v>
      </c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14" t="s">
        <v>775</v>
      </c>
      <c r="B357" s="14" t="s">
        <v>344</v>
      </c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" t="s">
        <v>776</v>
      </c>
      <c r="B358" s="5" t="s">
        <v>777</v>
      </c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14" t="s">
        <v>778</v>
      </c>
      <c r="B359" s="14" t="s">
        <v>779</v>
      </c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" t="s">
        <v>780</v>
      </c>
      <c r="B360" s="5" t="s">
        <v>781</v>
      </c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14" t="s">
        <v>782</v>
      </c>
      <c r="B361" s="14" t="s">
        <v>783</v>
      </c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" t="s">
        <v>784</v>
      </c>
      <c r="B362" s="5" t="s">
        <v>728</v>
      </c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14" t="s">
        <v>785</v>
      </c>
      <c r="B363" s="14" t="s">
        <v>695</v>
      </c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" t="s">
        <v>786</v>
      </c>
      <c r="B364" s="5" t="s">
        <v>678</v>
      </c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14" t="s">
        <v>787</v>
      </c>
      <c r="B365" s="14" t="s">
        <v>788</v>
      </c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" t="s">
        <v>789</v>
      </c>
      <c r="B366" s="5" t="s">
        <v>763</v>
      </c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14" t="s">
        <v>790</v>
      </c>
      <c r="B367" s="14" t="s">
        <v>791</v>
      </c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" t="s">
        <v>792</v>
      </c>
      <c r="B368" s="5" t="s">
        <v>793</v>
      </c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14" t="s">
        <v>794</v>
      </c>
      <c r="B369" s="14" t="s">
        <v>795</v>
      </c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" t="s">
        <v>796</v>
      </c>
      <c r="B370" s="5" t="s">
        <v>797</v>
      </c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14" t="s">
        <v>798</v>
      </c>
      <c r="B371" s="14" t="s">
        <v>791</v>
      </c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" t="s">
        <v>799</v>
      </c>
      <c r="B372" s="5" t="s">
        <v>800</v>
      </c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14" t="s">
        <v>801</v>
      </c>
      <c r="B373" s="14" t="s">
        <v>699</v>
      </c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" t="s">
        <v>802</v>
      </c>
      <c r="B374" s="5" t="s">
        <v>803</v>
      </c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14" t="s">
        <v>804</v>
      </c>
      <c r="B375" s="14" t="s">
        <v>805</v>
      </c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" t="s">
        <v>806</v>
      </c>
      <c r="B376" s="5" t="s">
        <v>807</v>
      </c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14" t="s">
        <v>808</v>
      </c>
      <c r="B377" s="14" t="s">
        <v>805</v>
      </c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" t="s">
        <v>809</v>
      </c>
      <c r="B378" s="5" t="s">
        <v>810</v>
      </c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14" t="s">
        <v>811</v>
      </c>
      <c r="B379" s="14" t="s">
        <v>527</v>
      </c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" t="s">
        <v>812</v>
      </c>
      <c r="B380" s="5" t="s">
        <v>702</v>
      </c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14" t="s">
        <v>813</v>
      </c>
      <c r="B381" s="14" t="s">
        <v>814</v>
      </c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" t="s">
        <v>815</v>
      </c>
      <c r="B382" s="5" t="s">
        <v>816</v>
      </c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14" t="s">
        <v>817</v>
      </c>
      <c r="B383" s="14" t="s">
        <v>763</v>
      </c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" t="s">
        <v>818</v>
      </c>
      <c r="B384" s="5" t="s">
        <v>546</v>
      </c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14" t="s">
        <v>818</v>
      </c>
      <c r="B385" s="14" t="s">
        <v>545</v>
      </c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" t="s">
        <v>819</v>
      </c>
      <c r="B386" s="5" t="s">
        <v>820</v>
      </c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14" t="s">
        <v>821</v>
      </c>
      <c r="B387" s="14" t="s">
        <v>770</v>
      </c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" t="s">
        <v>822</v>
      </c>
      <c r="B388" s="5" t="s">
        <v>678</v>
      </c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14" t="s">
        <v>823</v>
      </c>
      <c r="B389" s="14" t="s">
        <v>824</v>
      </c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" t="s">
        <v>825</v>
      </c>
      <c r="B390" s="5" t="s">
        <v>826</v>
      </c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14" t="s">
        <v>827</v>
      </c>
      <c r="B391" s="14" t="s">
        <v>676</v>
      </c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" t="s">
        <v>828</v>
      </c>
      <c r="B392" s="5" t="s">
        <v>797</v>
      </c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14" t="s">
        <v>829</v>
      </c>
      <c r="B393" s="14" t="s">
        <v>676</v>
      </c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" t="s">
        <v>830</v>
      </c>
      <c r="B394" s="5" t="s">
        <v>831</v>
      </c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14" t="s">
        <v>832</v>
      </c>
      <c r="B395" s="14" t="s">
        <v>759</v>
      </c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" t="s">
        <v>833</v>
      </c>
      <c r="B396" s="5" t="s">
        <v>834</v>
      </c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14" t="s">
        <v>835</v>
      </c>
      <c r="B397" s="14" t="s">
        <v>836</v>
      </c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" t="s">
        <v>837</v>
      </c>
      <c r="B398" s="5" t="s">
        <v>797</v>
      </c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14" t="s">
        <v>838</v>
      </c>
      <c r="B399" s="14" t="s">
        <v>826</v>
      </c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" t="s">
        <v>839</v>
      </c>
      <c r="B400" s="5" t="s">
        <v>676</v>
      </c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14" t="s">
        <v>840</v>
      </c>
      <c r="B401" s="14" t="s">
        <v>807</v>
      </c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" t="s">
        <v>841</v>
      </c>
      <c r="B402" s="5" t="s">
        <v>842</v>
      </c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14" t="s">
        <v>843</v>
      </c>
      <c r="B403" s="14" t="s">
        <v>732</v>
      </c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" t="s">
        <v>844</v>
      </c>
      <c r="B404" s="5" t="s">
        <v>820</v>
      </c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14" t="s">
        <v>845</v>
      </c>
      <c r="B405" s="14" t="s">
        <v>846</v>
      </c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" t="s">
        <v>847</v>
      </c>
      <c r="B406" s="5" t="s">
        <v>848</v>
      </c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14" t="s">
        <v>849</v>
      </c>
      <c r="B407" s="14" t="s">
        <v>307</v>
      </c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" t="s">
        <v>850</v>
      </c>
      <c r="B408" s="5" t="s">
        <v>763</v>
      </c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14" t="s">
        <v>851</v>
      </c>
      <c r="B409" s="14" t="s">
        <v>846</v>
      </c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" t="s">
        <v>852</v>
      </c>
      <c r="B410" s="5" t="s">
        <v>846</v>
      </c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14" t="s">
        <v>853</v>
      </c>
      <c r="B411" s="14" t="s">
        <v>323</v>
      </c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" t="s">
        <v>854</v>
      </c>
      <c r="B412" s="5" t="s">
        <v>207</v>
      </c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14" t="s">
        <v>855</v>
      </c>
      <c r="B413" s="14" t="s">
        <v>856</v>
      </c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" t="s">
        <v>857</v>
      </c>
      <c r="B414" s="5" t="s">
        <v>858</v>
      </c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14" t="s">
        <v>859</v>
      </c>
      <c r="B415" s="14" t="s">
        <v>726</v>
      </c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" t="s">
        <v>860</v>
      </c>
      <c r="B416" s="5" t="s">
        <v>688</v>
      </c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14" t="s">
        <v>861</v>
      </c>
      <c r="B417" s="14" t="s">
        <v>739</v>
      </c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" t="s">
        <v>862</v>
      </c>
      <c r="B418" s="5" t="s">
        <v>858</v>
      </c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14" t="s">
        <v>863</v>
      </c>
      <c r="B419" s="14" t="s">
        <v>864</v>
      </c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" t="s">
        <v>865</v>
      </c>
      <c r="B420" s="5" t="s">
        <v>386</v>
      </c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14" t="s">
        <v>866</v>
      </c>
      <c r="B421" s="14" t="s">
        <v>848</v>
      </c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" t="s">
        <v>867</v>
      </c>
      <c r="B422" s="5" t="s">
        <v>763</v>
      </c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14" t="s">
        <v>868</v>
      </c>
      <c r="B423" s="14" t="s">
        <v>869</v>
      </c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" t="s">
        <v>870</v>
      </c>
      <c r="B424" s="5" t="s">
        <v>871</v>
      </c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14" t="s">
        <v>872</v>
      </c>
      <c r="B425" s="14" t="s">
        <v>871</v>
      </c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" t="s">
        <v>873</v>
      </c>
      <c r="B426" s="5" t="s">
        <v>824</v>
      </c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14" t="s">
        <v>874</v>
      </c>
      <c r="B427" s="14" t="s">
        <v>662</v>
      </c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" t="s">
        <v>875</v>
      </c>
      <c r="B428" s="5" t="s">
        <v>876</v>
      </c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14" t="s">
        <v>877</v>
      </c>
      <c r="B429" s="14" t="s">
        <v>878</v>
      </c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" t="s">
        <v>879</v>
      </c>
      <c r="B430" s="5" t="s">
        <v>763</v>
      </c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14" t="s">
        <v>880</v>
      </c>
      <c r="B431" s="14" t="s">
        <v>881</v>
      </c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" t="s">
        <v>882</v>
      </c>
      <c r="B432" s="5" t="s">
        <v>883</v>
      </c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14" t="s">
        <v>884</v>
      </c>
      <c r="B433" s="14" t="s">
        <v>763</v>
      </c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" t="s">
        <v>885</v>
      </c>
      <c r="B434" s="5" t="s">
        <v>886</v>
      </c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14" t="s">
        <v>887</v>
      </c>
      <c r="B435" s="14" t="s">
        <v>888</v>
      </c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" t="s">
        <v>889</v>
      </c>
      <c r="B436" s="5" t="s">
        <v>713</v>
      </c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14" t="s">
        <v>890</v>
      </c>
      <c r="B437" s="14" t="s">
        <v>891</v>
      </c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" t="s">
        <v>892</v>
      </c>
      <c r="B438" s="5" t="s">
        <v>891</v>
      </c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14" t="s">
        <v>893</v>
      </c>
      <c r="B439" s="14" t="s">
        <v>824</v>
      </c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" t="s">
        <v>894</v>
      </c>
      <c r="B440" s="5" t="s">
        <v>894</v>
      </c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14" t="s">
        <v>895</v>
      </c>
      <c r="B441" s="14" t="s">
        <v>836</v>
      </c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" t="s">
        <v>896</v>
      </c>
      <c r="B442" s="5" t="s">
        <v>741</v>
      </c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14" t="s">
        <v>897</v>
      </c>
      <c r="B443" s="14" t="s">
        <v>898</v>
      </c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" t="s">
        <v>899</v>
      </c>
      <c r="B444" s="5" t="s">
        <v>900</v>
      </c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14" t="s">
        <v>901</v>
      </c>
      <c r="B445" s="14" t="s">
        <v>670</v>
      </c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" t="s">
        <v>902</v>
      </c>
      <c r="B446" s="5" t="s">
        <v>800</v>
      </c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14" t="s">
        <v>903</v>
      </c>
      <c r="B447" s="14" t="s">
        <v>904</v>
      </c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" t="s">
        <v>905</v>
      </c>
      <c r="B448" s="5" t="s">
        <v>656</v>
      </c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14" t="s">
        <v>906</v>
      </c>
      <c r="B449" s="14" t="s">
        <v>907</v>
      </c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" t="s">
        <v>908</v>
      </c>
      <c r="B450" s="5" t="s">
        <v>908</v>
      </c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14" t="s">
        <v>909</v>
      </c>
      <c r="B451" s="14" t="s">
        <v>910</v>
      </c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" t="s">
        <v>911</v>
      </c>
      <c r="B452" s="5" t="s">
        <v>912</v>
      </c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14" t="s">
        <v>913</v>
      </c>
      <c r="B453" s="14" t="s">
        <v>914</v>
      </c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" t="s">
        <v>915</v>
      </c>
      <c r="B454" s="5" t="s">
        <v>916</v>
      </c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14" t="s">
        <v>917</v>
      </c>
      <c r="B455" s="14" t="s">
        <v>918</v>
      </c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" t="s">
        <v>919</v>
      </c>
      <c r="B456" s="5" t="s">
        <v>919</v>
      </c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14" t="s">
        <v>920</v>
      </c>
      <c r="B457" s="14" t="s">
        <v>920</v>
      </c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" t="s">
        <v>921</v>
      </c>
      <c r="B458" s="5" t="s">
        <v>912</v>
      </c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14" t="s">
        <v>922</v>
      </c>
      <c r="B459" s="14" t="s">
        <v>923</v>
      </c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" t="s">
        <v>924</v>
      </c>
      <c r="B460" s="5" t="s">
        <v>925</v>
      </c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14" t="s">
        <v>926</v>
      </c>
      <c r="B461" s="14" t="s">
        <v>927</v>
      </c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" t="s">
        <v>928</v>
      </c>
      <c r="B462" s="5" t="s">
        <v>927</v>
      </c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14" t="s">
        <v>929</v>
      </c>
      <c r="B463" s="14" t="s">
        <v>930</v>
      </c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" t="s">
        <v>931</v>
      </c>
      <c r="B464" s="5" t="s">
        <v>930</v>
      </c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14" t="s">
        <v>932</v>
      </c>
      <c r="B465" s="14" t="s">
        <v>933</v>
      </c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" t="s">
        <v>934</v>
      </c>
      <c r="B466" s="5" t="s">
        <v>935</v>
      </c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14" t="s">
        <v>936</v>
      </c>
      <c r="B467" s="14" t="s">
        <v>935</v>
      </c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" t="s">
        <v>937</v>
      </c>
      <c r="B468" s="5" t="s">
        <v>933</v>
      </c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14" t="s">
        <v>938</v>
      </c>
      <c r="B469" s="14" t="s">
        <v>938</v>
      </c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" t="s">
        <v>939</v>
      </c>
      <c r="B470" s="5" t="s">
        <v>940</v>
      </c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14" t="s">
        <v>941</v>
      </c>
      <c r="B471" s="14" t="s">
        <v>942</v>
      </c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" t="s">
        <v>943</v>
      </c>
      <c r="B472" s="5" t="s">
        <v>942</v>
      </c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14" t="s">
        <v>944</v>
      </c>
      <c r="B473" s="14" t="s">
        <v>904</v>
      </c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" t="s">
        <v>945</v>
      </c>
      <c r="B474" s="5" t="s">
        <v>945</v>
      </c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14" t="s">
        <v>946</v>
      </c>
      <c r="B475" s="14" t="s">
        <v>484</v>
      </c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" t="s">
        <v>947</v>
      </c>
      <c r="B476" s="5" t="s">
        <v>948</v>
      </c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14" t="s">
        <v>949</v>
      </c>
      <c r="B477" s="14" t="s">
        <v>949</v>
      </c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" t="s">
        <v>950</v>
      </c>
      <c r="B478" s="5" t="s">
        <v>768</v>
      </c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14" t="s">
        <v>951</v>
      </c>
      <c r="B479" s="14" t="s">
        <v>779</v>
      </c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" t="s">
        <v>952</v>
      </c>
      <c r="B480" s="5" t="s">
        <v>953</v>
      </c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14" t="s">
        <v>954</v>
      </c>
      <c r="B481" s="14" t="s">
        <v>955</v>
      </c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" t="s">
        <v>956</v>
      </c>
      <c r="B482" s="5" t="s">
        <v>955</v>
      </c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14" t="s">
        <v>957</v>
      </c>
      <c r="B483" s="14" t="s">
        <v>958</v>
      </c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" t="s">
        <v>959</v>
      </c>
      <c r="B484" s="5" t="s">
        <v>958</v>
      </c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14" t="s">
        <v>960</v>
      </c>
      <c r="B485" s="14" t="s">
        <v>960</v>
      </c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" t="s">
        <v>961</v>
      </c>
      <c r="B486" s="5" t="s">
        <v>858</v>
      </c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14" t="s">
        <v>962</v>
      </c>
      <c r="B487" s="14" t="s">
        <v>963</v>
      </c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" t="s">
        <v>964</v>
      </c>
      <c r="B488" s="5" t="s">
        <v>963</v>
      </c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14" t="s">
        <v>965</v>
      </c>
      <c r="B489" s="14" t="s">
        <v>963</v>
      </c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" t="s">
        <v>966</v>
      </c>
      <c r="B490" s="5" t="s">
        <v>967</v>
      </c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14" t="s">
        <v>968</v>
      </c>
      <c r="B491" s="14" t="s">
        <v>969</v>
      </c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" t="s">
        <v>970</v>
      </c>
      <c r="B492" s="5" t="s">
        <v>971</v>
      </c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14" t="s">
        <v>972</v>
      </c>
      <c r="B493" s="14" t="s">
        <v>967</v>
      </c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" t="s">
        <v>973</v>
      </c>
      <c r="B494" s="5" t="s">
        <v>974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14" t="s">
        <v>975</v>
      </c>
      <c r="B495" s="14" t="s">
        <v>976</v>
      </c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" t="s">
        <v>977</v>
      </c>
      <c r="B496" s="5" t="s">
        <v>976</v>
      </c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14" t="s">
        <v>978</v>
      </c>
      <c r="B497" s="14" t="s">
        <v>979</v>
      </c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" t="s">
        <v>980</v>
      </c>
      <c r="B498" s="5" t="s">
        <v>980</v>
      </c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14" t="s">
        <v>981</v>
      </c>
      <c r="B499" s="14" t="s">
        <v>981</v>
      </c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" t="s">
        <v>982</v>
      </c>
      <c r="B500" s="5" t="s">
        <v>982</v>
      </c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14" t="s">
        <v>983</v>
      </c>
      <c r="B501" s="14" t="s">
        <v>983</v>
      </c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" t="s">
        <v>984</v>
      </c>
      <c r="B502" s="5" t="s">
        <v>984</v>
      </c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14" t="s">
        <v>985</v>
      </c>
      <c r="B503" s="14" t="s">
        <v>986</v>
      </c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" t="s">
        <v>987</v>
      </c>
      <c r="B504" s="5" t="s">
        <v>987</v>
      </c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14" t="s">
        <v>988</v>
      </c>
      <c r="B505" s="14" t="s">
        <v>988</v>
      </c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" t="s">
        <v>989</v>
      </c>
      <c r="B506" s="5" t="s">
        <v>989</v>
      </c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14" t="s">
        <v>990</v>
      </c>
      <c r="B507" s="14" t="s">
        <v>482</v>
      </c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" t="s">
        <v>991</v>
      </c>
      <c r="B508" s="5" t="s">
        <v>587</v>
      </c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14" t="s">
        <v>992</v>
      </c>
      <c r="B509" s="14" t="s">
        <v>992</v>
      </c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" t="s">
        <v>993</v>
      </c>
      <c r="B510" s="5" t="s">
        <v>994</v>
      </c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14" t="s">
        <v>995</v>
      </c>
      <c r="B511" s="14" t="s">
        <v>995</v>
      </c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" t="s">
        <v>996</v>
      </c>
      <c r="B512" s="5" t="s">
        <v>996</v>
      </c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14" t="s">
        <v>997</v>
      </c>
      <c r="B513" s="14" t="s">
        <v>997</v>
      </c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" t="s">
        <v>998</v>
      </c>
      <c r="B514" s="5" t="s">
        <v>999</v>
      </c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14" t="s">
        <v>1000</v>
      </c>
      <c r="B515" s="14" t="s">
        <v>1001</v>
      </c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" t="s">
        <v>1002</v>
      </c>
      <c r="B516" s="5" t="s">
        <v>1003</v>
      </c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14" t="s">
        <v>1004</v>
      </c>
      <c r="B517" s="14" t="s">
        <v>1004</v>
      </c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" t="s">
        <v>1005</v>
      </c>
      <c r="B518" s="5" t="s">
        <v>1006</v>
      </c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14" t="s">
        <v>1007</v>
      </c>
      <c r="B519" s="14" t="s">
        <v>1006</v>
      </c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" t="s">
        <v>1008</v>
      </c>
      <c r="B520" s="5" t="s">
        <v>1009</v>
      </c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14" t="s">
        <v>1010</v>
      </c>
      <c r="B521" s="14" t="s">
        <v>933</v>
      </c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" t="s">
        <v>1011</v>
      </c>
      <c r="B522" s="5" t="s">
        <v>842</v>
      </c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14" t="s">
        <v>1012</v>
      </c>
      <c r="B523" s="14" t="s">
        <v>603</v>
      </c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" t="s">
        <v>1013</v>
      </c>
      <c r="B524" s="5" t="s">
        <v>918</v>
      </c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14" t="s">
        <v>1014</v>
      </c>
      <c r="B525" s="14" t="s">
        <v>711</v>
      </c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" t="s">
        <v>1015</v>
      </c>
      <c r="B526" s="5" t="s">
        <v>1016</v>
      </c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14" t="s">
        <v>1017</v>
      </c>
      <c r="B527" s="14" t="s">
        <v>1018</v>
      </c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" t="s">
        <v>1019</v>
      </c>
      <c r="B528" s="5" t="s">
        <v>1020</v>
      </c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14" t="s">
        <v>1021</v>
      </c>
      <c r="B529" s="14" t="s">
        <v>940</v>
      </c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" t="s">
        <v>1022</v>
      </c>
      <c r="B530" s="5" t="s">
        <v>948</v>
      </c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14" t="s">
        <v>1023</v>
      </c>
      <c r="B531" s="14" t="s">
        <v>831</v>
      </c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" t="s">
        <v>1024</v>
      </c>
      <c r="B532" s="5" t="s">
        <v>793</v>
      </c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14" t="s">
        <v>1025</v>
      </c>
      <c r="B533" s="14" t="s">
        <v>670</v>
      </c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" t="s">
        <v>1026</v>
      </c>
      <c r="B534" s="5" t="s">
        <v>761</v>
      </c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14" t="s">
        <v>1027</v>
      </c>
      <c r="B535" s="14" t="s">
        <v>594</v>
      </c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" t="s">
        <v>1028</v>
      </c>
      <c r="B536" s="5" t="s">
        <v>1029</v>
      </c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0"/>
      <c r="B537" s="50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0"/>
      <c r="B538" s="50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0"/>
      <c r="B539" s="50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0"/>
      <c r="B540" s="50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0"/>
      <c r="B541" s="50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0"/>
      <c r="B542" s="50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0"/>
      <c r="B543" s="50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0"/>
      <c r="B544" s="50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0"/>
      <c r="B545" s="50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0"/>
      <c r="B546" s="50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0"/>
      <c r="B547" s="50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0"/>
      <c r="B548" s="50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0"/>
      <c r="B549" s="50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0"/>
      <c r="B550" s="50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0"/>
      <c r="B551" s="50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0"/>
      <c r="B552" s="50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0"/>
      <c r="B553" s="50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0"/>
      <c r="B554" s="50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0"/>
      <c r="B555" s="50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0"/>
      <c r="B556" s="50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0"/>
      <c r="B557" s="50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0"/>
      <c r="B558" s="50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0"/>
      <c r="B559" s="50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0"/>
      <c r="B560" s="50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0"/>
      <c r="B561" s="50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0"/>
      <c r="B562" s="50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0"/>
      <c r="B563" s="50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0"/>
      <c r="B564" s="50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0"/>
      <c r="B565" s="50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0"/>
      <c r="B566" s="50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0"/>
      <c r="B567" s="50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0"/>
      <c r="B568" s="50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0"/>
      <c r="B569" s="50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0"/>
      <c r="B570" s="50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0"/>
      <c r="B571" s="50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0"/>
      <c r="B572" s="50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0"/>
      <c r="B573" s="50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0"/>
      <c r="B574" s="50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0"/>
      <c r="B575" s="50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0"/>
      <c r="B576" s="50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0"/>
      <c r="B577" s="50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0"/>
      <c r="B578" s="50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0"/>
      <c r="B579" s="50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0"/>
      <c r="B580" s="50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0"/>
      <c r="B581" s="50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0"/>
      <c r="B582" s="50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0"/>
      <c r="B583" s="50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0"/>
      <c r="B584" s="50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0"/>
      <c r="B585" s="50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0"/>
      <c r="B586" s="50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0"/>
      <c r="B587" s="50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0"/>
      <c r="B588" s="50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0"/>
      <c r="B589" s="50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0"/>
      <c r="B590" s="50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0"/>
      <c r="B591" s="50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0"/>
      <c r="B592" s="50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0"/>
      <c r="B593" s="50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0"/>
      <c r="B594" s="50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0"/>
      <c r="B595" s="50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0"/>
      <c r="B596" s="50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0"/>
      <c r="B597" s="50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0"/>
      <c r="B598" s="50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0"/>
      <c r="B599" s="50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0"/>
      <c r="B600" s="50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0"/>
      <c r="B601" s="50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0"/>
      <c r="B602" s="50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0"/>
      <c r="B603" s="50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0"/>
      <c r="B604" s="50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0"/>
      <c r="B605" s="50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0"/>
      <c r="B606" s="50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0"/>
      <c r="B607" s="50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0"/>
      <c r="B608" s="50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0"/>
      <c r="B609" s="50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0"/>
      <c r="B610" s="50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0"/>
      <c r="B611" s="50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0"/>
      <c r="B612" s="50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0"/>
      <c r="B613" s="50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0"/>
      <c r="B614" s="50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0"/>
      <c r="B615" s="50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0"/>
      <c r="B616" s="50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0"/>
      <c r="B617" s="50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0"/>
      <c r="B618" s="50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0"/>
      <c r="B619" s="50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0"/>
      <c r="B620" s="50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0"/>
      <c r="B621" s="50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0"/>
      <c r="B622" s="50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0"/>
      <c r="B623" s="50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0"/>
      <c r="B624" s="50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0"/>
      <c r="B625" s="50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0"/>
      <c r="B626" s="50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0"/>
      <c r="B627" s="50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0"/>
      <c r="B628" s="50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0"/>
      <c r="B629" s="50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0"/>
      <c r="B630" s="50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0"/>
      <c r="B631" s="50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0"/>
      <c r="B632" s="50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0"/>
      <c r="B633" s="50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0"/>
      <c r="B634" s="50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0"/>
      <c r="B635" s="50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0"/>
      <c r="B636" s="50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0"/>
      <c r="B637" s="50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0"/>
      <c r="B638" s="50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0"/>
      <c r="B639" s="50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0"/>
      <c r="B640" s="50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0"/>
      <c r="B641" s="50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0"/>
      <c r="B642" s="50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0"/>
      <c r="B643" s="50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0"/>
      <c r="B644" s="50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0"/>
      <c r="B645" s="50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0"/>
      <c r="B646" s="50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0"/>
      <c r="B647" s="50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0"/>
      <c r="B648" s="50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0"/>
      <c r="B649" s="50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0"/>
      <c r="B650" s="50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0"/>
      <c r="B651" s="50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0"/>
      <c r="B652" s="50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0"/>
      <c r="B653" s="50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0"/>
      <c r="B654" s="50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0"/>
      <c r="B655" s="50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0"/>
      <c r="B656" s="50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0"/>
      <c r="B657" s="50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0"/>
      <c r="B658" s="50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0"/>
      <c r="B659" s="50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0"/>
      <c r="B660" s="50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0"/>
      <c r="B661" s="50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0"/>
      <c r="B662" s="50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0"/>
      <c r="B663" s="50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0"/>
      <c r="B664" s="50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0"/>
      <c r="B665" s="50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0"/>
      <c r="B666" s="50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0"/>
      <c r="B667" s="50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0"/>
      <c r="B668" s="50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0"/>
      <c r="B669" s="50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0"/>
      <c r="B670" s="50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0"/>
      <c r="B671" s="50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0"/>
      <c r="B672" s="50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0"/>
      <c r="B673" s="50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0"/>
      <c r="B674" s="50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0"/>
      <c r="B675" s="50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0"/>
      <c r="B676" s="50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0"/>
      <c r="B677" s="50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0"/>
      <c r="B678" s="50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0"/>
      <c r="B679" s="50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0"/>
      <c r="B680" s="50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0"/>
      <c r="B681" s="50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0"/>
      <c r="B682" s="50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0"/>
      <c r="B683" s="50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0"/>
      <c r="B684" s="50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0"/>
      <c r="B685" s="50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0"/>
      <c r="B686" s="50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0"/>
      <c r="B687" s="50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0"/>
      <c r="B688" s="50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0"/>
      <c r="B689" s="50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0"/>
      <c r="B690" s="50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0"/>
      <c r="B691" s="50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0"/>
      <c r="B692" s="50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0"/>
      <c r="B693" s="50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0"/>
      <c r="B694" s="50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0"/>
      <c r="B695" s="50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0"/>
      <c r="B696" s="50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0"/>
      <c r="B697" s="50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0"/>
      <c r="B698" s="50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0"/>
      <c r="B699" s="50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0"/>
      <c r="B700" s="50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0"/>
      <c r="B701" s="50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0"/>
      <c r="B702" s="50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0"/>
      <c r="B703" s="50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0"/>
      <c r="B704" s="50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0"/>
      <c r="B705" s="50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0"/>
      <c r="B706" s="50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0"/>
      <c r="B707" s="50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0"/>
      <c r="B708" s="50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0"/>
      <c r="B709" s="50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0"/>
      <c r="B710" s="50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0"/>
      <c r="B711" s="50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0"/>
      <c r="B712" s="50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0"/>
      <c r="B713" s="50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0"/>
      <c r="B714" s="50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0"/>
      <c r="B715" s="50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0"/>
      <c r="B716" s="50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0"/>
      <c r="B717" s="50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0"/>
      <c r="B718" s="50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0"/>
      <c r="B719" s="50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0"/>
      <c r="B720" s="50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0"/>
      <c r="B721" s="50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0"/>
      <c r="B722" s="50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0"/>
      <c r="B723" s="50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0"/>
      <c r="B724" s="50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0"/>
      <c r="B725" s="50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0"/>
      <c r="B726" s="50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0"/>
      <c r="B727" s="50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0"/>
      <c r="B728" s="50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0"/>
      <c r="B729" s="50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0"/>
      <c r="B730" s="50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0"/>
      <c r="B731" s="50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0"/>
      <c r="B732" s="50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0"/>
      <c r="B733" s="50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0"/>
      <c r="B734" s="50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0"/>
      <c r="B735" s="50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0"/>
      <c r="B736" s="50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9.88"/>
    <col customWidth="1" min="3" max="3" width="12.0"/>
    <col customWidth="1" min="4" max="6" width="12.63"/>
  </cols>
  <sheetData>
    <row r="1">
      <c r="A1" s="57" t="s">
        <v>16</v>
      </c>
      <c r="B1" s="57" t="s">
        <v>17</v>
      </c>
      <c r="C1" s="58" t="s">
        <v>1030</v>
      </c>
    </row>
    <row r="2">
      <c r="A2" s="59" t="s">
        <v>207</v>
      </c>
      <c r="B2" s="59" t="s">
        <v>1031</v>
      </c>
      <c r="C2" s="60">
        <v>64.0</v>
      </c>
    </row>
    <row r="3">
      <c r="A3" s="59" t="s">
        <v>258</v>
      </c>
      <c r="B3" s="59" t="s">
        <v>1032</v>
      </c>
      <c r="C3" s="60">
        <v>8.0</v>
      </c>
    </row>
    <row r="4">
      <c r="A4" s="59" t="s">
        <v>205</v>
      </c>
      <c r="B4" s="59" t="s">
        <v>1033</v>
      </c>
      <c r="C4" s="60">
        <v>69.0</v>
      </c>
    </row>
    <row r="5">
      <c r="A5" s="59" t="s">
        <v>289</v>
      </c>
      <c r="B5" s="59" t="s">
        <v>1034</v>
      </c>
      <c r="C5" s="60">
        <v>99.0</v>
      </c>
    </row>
    <row r="6">
      <c r="A6" s="59" t="s">
        <v>331</v>
      </c>
      <c r="B6" s="59" t="s">
        <v>1035</v>
      </c>
      <c r="C6" s="60">
        <v>109.0</v>
      </c>
    </row>
    <row r="7">
      <c r="A7" s="59" t="s">
        <v>236</v>
      </c>
      <c r="B7" s="59" t="s">
        <v>1033</v>
      </c>
      <c r="C7" s="60">
        <v>12.0</v>
      </c>
    </row>
    <row r="8">
      <c r="A8" s="59" t="s">
        <v>205</v>
      </c>
      <c r="B8" s="59" t="s">
        <v>1033</v>
      </c>
      <c r="C8" s="60">
        <v>69.0</v>
      </c>
    </row>
    <row r="9">
      <c r="A9" s="59" t="s">
        <v>210</v>
      </c>
      <c r="B9" s="59" t="s">
        <v>1032</v>
      </c>
      <c r="C9" s="60">
        <v>79.0</v>
      </c>
    </row>
    <row r="10">
      <c r="A10" s="59" t="s">
        <v>273</v>
      </c>
      <c r="B10" s="59" t="s">
        <v>1036</v>
      </c>
      <c r="C10" s="60">
        <v>48.0</v>
      </c>
    </row>
    <row r="11">
      <c r="A11" s="59" t="s">
        <v>216</v>
      </c>
      <c r="B11" s="59" t="s">
        <v>1037</v>
      </c>
      <c r="C11" s="60">
        <v>13.0</v>
      </c>
    </row>
    <row r="12">
      <c r="A12" s="59" t="s">
        <v>308</v>
      </c>
      <c r="B12" s="59" t="s">
        <v>1038</v>
      </c>
      <c r="C12" s="60">
        <v>46.0</v>
      </c>
    </row>
    <row r="13">
      <c r="A13" s="59" t="s">
        <v>323</v>
      </c>
      <c r="B13" s="59" t="s">
        <v>1039</v>
      </c>
      <c r="C13" s="60">
        <v>20.0</v>
      </c>
    </row>
    <row r="14">
      <c r="A14" s="59" t="s">
        <v>213</v>
      </c>
      <c r="B14" s="59" t="s">
        <v>1040</v>
      </c>
      <c r="C14" s="60">
        <v>15.0</v>
      </c>
    </row>
    <row r="15">
      <c r="A15" s="59" t="s">
        <v>305</v>
      </c>
      <c r="B15" s="59" t="s">
        <v>1033</v>
      </c>
      <c r="C15" s="60">
        <v>8.0</v>
      </c>
    </row>
    <row r="16">
      <c r="A16" s="59" t="s">
        <v>221</v>
      </c>
      <c r="B16" s="59" t="s">
        <v>1035</v>
      </c>
      <c r="C16" s="60">
        <v>23.0</v>
      </c>
    </row>
    <row r="17">
      <c r="A17" s="59" t="s">
        <v>246</v>
      </c>
      <c r="B17" s="59" t="s">
        <v>1031</v>
      </c>
      <c r="C17" s="60">
        <v>80.0</v>
      </c>
    </row>
    <row r="18">
      <c r="A18" s="59" t="s">
        <v>285</v>
      </c>
      <c r="B18" s="59" t="s">
        <v>1041</v>
      </c>
      <c r="C18" s="60">
        <v>55.0</v>
      </c>
    </row>
    <row r="19">
      <c r="A19" s="59" t="s">
        <v>272</v>
      </c>
      <c r="B19" s="59" t="s">
        <v>1042</v>
      </c>
      <c r="C19" s="60">
        <v>84.0</v>
      </c>
    </row>
    <row r="20">
      <c r="A20" s="59" t="s">
        <v>218</v>
      </c>
      <c r="B20" s="59" t="s">
        <v>1043</v>
      </c>
      <c r="C20" s="60">
        <v>42.0</v>
      </c>
    </row>
    <row r="21" ht="15.75" customHeight="1">
      <c r="A21" s="59" t="s">
        <v>279</v>
      </c>
      <c r="B21" s="59" t="s">
        <v>1044</v>
      </c>
      <c r="C21" s="60">
        <v>50.0</v>
      </c>
    </row>
    <row r="22" ht="15.75" customHeight="1">
      <c r="A22" s="59" t="s">
        <v>212</v>
      </c>
      <c r="B22" s="59" t="s">
        <v>1037</v>
      </c>
      <c r="C22" s="60">
        <v>78.0</v>
      </c>
    </row>
    <row r="23" ht="15.75" customHeight="1">
      <c r="A23" s="59" t="s">
        <v>247</v>
      </c>
      <c r="B23" s="59" t="s">
        <v>1045</v>
      </c>
      <c r="C23" s="60">
        <v>96.0</v>
      </c>
    </row>
    <row r="24" ht="15.75" customHeight="1">
      <c r="A24" s="59" t="s">
        <v>253</v>
      </c>
      <c r="B24" s="59" t="s">
        <v>1045</v>
      </c>
      <c r="C24" s="60">
        <v>72.0</v>
      </c>
    </row>
    <row r="25" ht="15.75" customHeight="1">
      <c r="A25" s="59" t="s">
        <v>238</v>
      </c>
      <c r="B25" s="59" t="s">
        <v>1045</v>
      </c>
      <c r="C25" s="60">
        <v>13.0</v>
      </c>
    </row>
    <row r="26" ht="15.75" customHeight="1">
      <c r="A26" s="59" t="s">
        <v>358</v>
      </c>
      <c r="B26" s="59" t="s">
        <v>1046</v>
      </c>
      <c r="C26" s="60">
        <v>22.0</v>
      </c>
    </row>
    <row r="27" ht="15.75" customHeight="1">
      <c r="A27" s="59" t="s">
        <v>235</v>
      </c>
      <c r="B27" s="59" t="s">
        <v>1047</v>
      </c>
      <c r="C27" s="60">
        <v>10.0</v>
      </c>
    </row>
    <row r="28" ht="15.75" customHeight="1">
      <c r="A28" s="59" t="s">
        <v>209</v>
      </c>
      <c r="B28" s="59" t="s">
        <v>1048</v>
      </c>
      <c r="C28" s="60">
        <v>11.0</v>
      </c>
    </row>
    <row r="29" ht="15.75" customHeight="1">
      <c r="A29" s="59" t="s">
        <v>304</v>
      </c>
      <c r="B29" s="59" t="s">
        <v>1047</v>
      </c>
      <c r="C29" s="60">
        <v>5.0</v>
      </c>
    </row>
    <row r="30" ht="15.75" customHeight="1">
      <c r="A30" s="59" t="s">
        <v>275</v>
      </c>
      <c r="B30" s="59" t="s">
        <v>1046</v>
      </c>
      <c r="C30" s="60">
        <v>26.0</v>
      </c>
    </row>
    <row r="31" ht="15.75" customHeight="1">
      <c r="A31" s="59" t="s">
        <v>292</v>
      </c>
      <c r="B31" s="59" t="s">
        <v>1049</v>
      </c>
      <c r="C31" s="60">
        <v>21.0</v>
      </c>
    </row>
    <row r="32" ht="15.75" customHeight="1">
      <c r="A32" s="59" t="s">
        <v>227</v>
      </c>
      <c r="B32" s="59" t="s">
        <v>1050</v>
      </c>
      <c r="C32" s="60">
        <v>24.0</v>
      </c>
    </row>
    <row r="33" ht="15.75" customHeight="1">
      <c r="A33" s="59" t="s">
        <v>318</v>
      </c>
      <c r="B33" s="59" t="s">
        <v>1033</v>
      </c>
      <c r="C33" s="60">
        <v>6.0</v>
      </c>
    </row>
    <row r="34" ht="15.75" customHeight="1">
      <c r="A34" s="59" t="s">
        <v>215</v>
      </c>
      <c r="B34" s="59" t="s">
        <v>1049</v>
      </c>
      <c r="C34" s="60">
        <v>55.0</v>
      </c>
    </row>
    <row r="35" ht="15.75" customHeight="1">
      <c r="A35" s="59" t="s">
        <v>232</v>
      </c>
      <c r="B35" s="59" t="s">
        <v>1037</v>
      </c>
      <c r="C35" s="60">
        <v>213.0</v>
      </c>
    </row>
    <row r="36" ht="15.75" customHeight="1">
      <c r="A36" s="59" t="s">
        <v>270</v>
      </c>
      <c r="B36" s="59" t="s">
        <v>1038</v>
      </c>
      <c r="C36" s="60">
        <v>118.0</v>
      </c>
    </row>
    <row r="37" ht="15.75" customHeight="1">
      <c r="A37" s="59" t="s">
        <v>274</v>
      </c>
      <c r="B37" s="59" t="s">
        <v>1031</v>
      </c>
      <c r="C37" s="60">
        <v>121.0</v>
      </c>
    </row>
    <row r="38" ht="15.75" customHeight="1">
      <c r="A38" s="59" t="s">
        <v>322</v>
      </c>
      <c r="B38" s="59" t="s">
        <v>1051</v>
      </c>
      <c r="C38" s="60">
        <v>25.0</v>
      </c>
    </row>
    <row r="39" ht="15.75" customHeight="1">
      <c r="A39" s="59" t="s">
        <v>340</v>
      </c>
      <c r="B39" s="59" t="s">
        <v>1045</v>
      </c>
      <c r="C39" s="60">
        <v>68.0</v>
      </c>
    </row>
    <row r="40" ht="15.75" customHeight="1">
      <c r="A40" s="59" t="s">
        <v>203</v>
      </c>
      <c r="B40" s="59" t="s">
        <v>1052</v>
      </c>
      <c r="C40" s="60">
        <v>63.0</v>
      </c>
    </row>
    <row r="41" ht="15.75" customHeight="1">
      <c r="A41" s="59" t="s">
        <v>255</v>
      </c>
      <c r="B41" s="59" t="s">
        <v>1031</v>
      </c>
      <c r="C41" s="60">
        <v>120.0</v>
      </c>
    </row>
    <row r="42" ht="15.75" customHeight="1">
      <c r="A42" s="59" t="s">
        <v>252</v>
      </c>
      <c r="B42" s="59" t="s">
        <v>1053</v>
      </c>
      <c r="C42" s="60">
        <v>10.0</v>
      </c>
    </row>
    <row r="43" ht="15.75" customHeight="1">
      <c r="A43" s="59" t="s">
        <v>228</v>
      </c>
      <c r="B43" s="59" t="s">
        <v>1035</v>
      </c>
      <c r="C43" s="60">
        <v>67.0</v>
      </c>
    </row>
    <row r="44" ht="15.75" customHeight="1">
      <c r="A44" s="59" t="s">
        <v>254</v>
      </c>
      <c r="B44" s="59" t="s">
        <v>1047</v>
      </c>
      <c r="C44" s="60">
        <v>22.0</v>
      </c>
    </row>
    <row r="45" ht="15.75" customHeight="1">
      <c r="A45" s="59" t="s">
        <v>267</v>
      </c>
      <c r="B45" s="59" t="s">
        <v>1045</v>
      </c>
      <c r="C45" s="60">
        <v>14.0</v>
      </c>
    </row>
    <row r="46" ht="15.75" customHeight="1">
      <c r="A46" s="59" t="s">
        <v>239</v>
      </c>
      <c r="B46" s="59" t="s">
        <v>1054</v>
      </c>
      <c r="C46" s="60">
        <v>32.0</v>
      </c>
    </row>
    <row r="47" ht="15.75" customHeight="1">
      <c r="A47" s="59" t="s">
        <v>295</v>
      </c>
      <c r="B47" s="59" t="s">
        <v>1055</v>
      </c>
      <c r="C47" s="60">
        <v>11.0</v>
      </c>
    </row>
    <row r="48" ht="15.75" customHeight="1">
      <c r="A48" s="59" t="s">
        <v>341</v>
      </c>
      <c r="B48" s="59" t="s">
        <v>1056</v>
      </c>
      <c r="C48" s="60">
        <v>47.0</v>
      </c>
    </row>
    <row r="49" ht="15.75" customHeight="1">
      <c r="A49" s="59" t="s">
        <v>351</v>
      </c>
      <c r="B49" s="59" t="s">
        <v>1050</v>
      </c>
      <c r="C49" s="60">
        <v>39.0</v>
      </c>
    </row>
    <row r="50" ht="15.75" customHeight="1">
      <c r="A50" s="59" t="s">
        <v>249</v>
      </c>
      <c r="B50" s="59" t="s">
        <v>1035</v>
      </c>
      <c r="C50" s="60">
        <v>69.0</v>
      </c>
    </row>
    <row r="51" ht="15.75" customHeight="1">
      <c r="A51" s="59" t="s">
        <v>307</v>
      </c>
      <c r="B51" s="59" t="s">
        <v>1035</v>
      </c>
      <c r="C51" s="60">
        <v>59.0</v>
      </c>
    </row>
    <row r="52" ht="15.75" customHeight="1">
      <c r="A52" s="59" t="s">
        <v>317</v>
      </c>
      <c r="B52" s="59" t="s">
        <v>1057</v>
      </c>
      <c r="C52" s="60">
        <v>9.0</v>
      </c>
    </row>
    <row r="53" ht="15.75" customHeight="1">
      <c r="A53" s="59" t="s">
        <v>271</v>
      </c>
      <c r="B53" s="59" t="s">
        <v>1058</v>
      </c>
      <c r="C53" s="60">
        <v>61.0</v>
      </c>
    </row>
    <row r="54" ht="15.75" customHeight="1">
      <c r="A54" s="59" t="s">
        <v>345</v>
      </c>
      <c r="B54" s="59" t="s">
        <v>1059</v>
      </c>
      <c r="C54" s="60">
        <v>42.0</v>
      </c>
    </row>
    <row r="55" ht="15.75" customHeight="1">
      <c r="A55" s="59" t="s">
        <v>128</v>
      </c>
      <c r="B55" s="59" t="s">
        <v>1047</v>
      </c>
      <c r="C55" s="60">
        <v>2.0</v>
      </c>
    </row>
    <row r="56" ht="15.75" customHeight="1">
      <c r="A56" s="59" t="s">
        <v>321</v>
      </c>
      <c r="B56" s="59" t="s">
        <v>1060</v>
      </c>
      <c r="C56" s="60">
        <v>24.0</v>
      </c>
    </row>
    <row r="57" ht="15.75" customHeight="1">
      <c r="A57" s="59" t="s">
        <v>214</v>
      </c>
      <c r="B57" s="59" t="s">
        <v>1041</v>
      </c>
      <c r="C57" s="60">
        <v>51.0</v>
      </c>
    </row>
    <row r="58" ht="15.75" customHeight="1">
      <c r="A58" s="59" t="s">
        <v>375</v>
      </c>
      <c r="B58" s="59" t="s">
        <v>1035</v>
      </c>
      <c r="C58" s="60">
        <v>24.0</v>
      </c>
    </row>
    <row r="59" ht="15.75" customHeight="1">
      <c r="A59" s="59" t="s">
        <v>376</v>
      </c>
      <c r="B59" s="59" t="s">
        <v>1057</v>
      </c>
      <c r="C59" s="60">
        <v>25.0</v>
      </c>
    </row>
    <row r="60" ht="15.75" customHeight="1">
      <c r="A60" s="59" t="s">
        <v>314</v>
      </c>
      <c r="B60" s="59" t="s">
        <v>1057</v>
      </c>
      <c r="C60" s="60">
        <v>8.0</v>
      </c>
    </row>
    <row r="61" ht="15.75" customHeight="1">
      <c r="A61" s="59" t="s">
        <v>335</v>
      </c>
      <c r="B61" s="59" t="s">
        <v>1055</v>
      </c>
      <c r="C61" s="60">
        <v>83.0</v>
      </c>
    </row>
    <row r="62" ht="15.75" customHeight="1">
      <c r="A62" s="59" t="s">
        <v>217</v>
      </c>
      <c r="B62" s="59" t="s">
        <v>1052</v>
      </c>
      <c r="C62" s="60">
        <v>18.0</v>
      </c>
    </row>
    <row r="63" ht="15.75" customHeight="1">
      <c r="A63" s="59" t="s">
        <v>350</v>
      </c>
      <c r="B63" s="59" t="s">
        <v>1043</v>
      </c>
      <c r="C63" s="60">
        <v>42.0</v>
      </c>
    </row>
    <row r="64" ht="15.75" customHeight="1">
      <c r="A64" s="59" t="s">
        <v>326</v>
      </c>
      <c r="B64" s="59" t="s">
        <v>1038</v>
      </c>
      <c r="C64" s="60">
        <v>95.0</v>
      </c>
    </row>
    <row r="65" ht="15.75" customHeight="1">
      <c r="A65" s="59" t="s">
        <v>231</v>
      </c>
      <c r="B65" s="59" t="s">
        <v>1052</v>
      </c>
      <c r="C65" s="60">
        <v>54.0</v>
      </c>
    </row>
    <row r="66" ht="15.75" customHeight="1">
      <c r="A66" s="59" t="s">
        <v>344</v>
      </c>
      <c r="B66" s="59" t="s">
        <v>1061</v>
      </c>
      <c r="C66" s="60">
        <v>113.0</v>
      </c>
    </row>
    <row r="67" ht="15.75" customHeight="1">
      <c r="A67" s="59" t="s">
        <v>263</v>
      </c>
      <c r="B67" s="59" t="s">
        <v>1043</v>
      </c>
      <c r="C67" s="60">
        <v>56.0</v>
      </c>
    </row>
    <row r="68" ht="15.75" customHeight="1">
      <c r="A68" s="59" t="s">
        <v>306</v>
      </c>
      <c r="B68" s="59" t="s">
        <v>1062</v>
      </c>
      <c r="C68" s="60">
        <v>53.0</v>
      </c>
    </row>
    <row r="69" ht="15.75" customHeight="1">
      <c r="A69" s="59" t="s">
        <v>219</v>
      </c>
      <c r="B69" s="59" t="s">
        <v>1063</v>
      </c>
      <c r="C69" s="60">
        <v>54.0</v>
      </c>
    </row>
    <row r="70" ht="15.75" customHeight="1">
      <c r="A70" s="59" t="s">
        <v>248</v>
      </c>
      <c r="B70" s="59" t="s">
        <v>1064</v>
      </c>
      <c r="C70" s="60">
        <v>9.0</v>
      </c>
    </row>
    <row r="71" ht="15.75" customHeight="1">
      <c r="A71" s="59" t="s">
        <v>206</v>
      </c>
      <c r="B71" s="59" t="s">
        <v>1048</v>
      </c>
      <c r="C71" s="60">
        <v>14.0</v>
      </c>
    </row>
    <row r="72" ht="15.75" customHeight="1">
      <c r="A72" s="59" t="s">
        <v>282</v>
      </c>
      <c r="B72" s="59" t="s">
        <v>1065</v>
      </c>
      <c r="C72" s="60">
        <v>21.0</v>
      </c>
    </row>
    <row r="73" ht="15.75" customHeight="1">
      <c r="A73" s="59" t="s">
        <v>309</v>
      </c>
      <c r="B73" s="59" t="s">
        <v>1066</v>
      </c>
      <c r="C73" s="60">
        <v>84.0</v>
      </c>
    </row>
    <row r="74" ht="15.75" customHeight="1">
      <c r="A74" s="59" t="s">
        <v>204</v>
      </c>
      <c r="B74" s="59" t="s">
        <v>1038</v>
      </c>
      <c r="C74" s="60">
        <v>44.0</v>
      </c>
    </row>
    <row r="75" ht="15.75" customHeight="1">
      <c r="A75" s="59" t="s">
        <v>220</v>
      </c>
      <c r="B75" s="59" t="s">
        <v>1052</v>
      </c>
      <c r="C75" s="60">
        <v>54.0</v>
      </c>
    </row>
    <row r="76" ht="15.75" customHeight="1">
      <c r="A76" s="59" t="s">
        <v>278</v>
      </c>
      <c r="B76" s="59" t="s">
        <v>1052</v>
      </c>
      <c r="C76" s="60">
        <v>47.0</v>
      </c>
    </row>
    <row r="77" ht="15.75" customHeight="1">
      <c r="A77" s="59" t="s">
        <v>288</v>
      </c>
      <c r="B77" s="59" t="s">
        <v>1052</v>
      </c>
      <c r="C77" s="60">
        <v>63.0</v>
      </c>
    </row>
    <row r="78" ht="15.75" customHeight="1">
      <c r="A78" s="59" t="s">
        <v>222</v>
      </c>
      <c r="B78" s="59" t="s">
        <v>1067</v>
      </c>
      <c r="C78" s="60">
        <v>48.0</v>
      </c>
    </row>
    <row r="79" ht="15.75" customHeight="1">
      <c r="A79" s="59" t="s">
        <v>208</v>
      </c>
      <c r="B79" s="59" t="s">
        <v>1068</v>
      </c>
      <c r="C79" s="60">
        <v>49.0</v>
      </c>
    </row>
    <row r="80" ht="15.75" customHeight="1">
      <c r="A80" s="59" t="s">
        <v>211</v>
      </c>
      <c r="B80" s="59" t="s">
        <v>1040</v>
      </c>
      <c r="C80" s="60">
        <v>21.0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