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scar Martinez\Desktop\2023\FEDEPANELA\Costos\"/>
    </mc:Choice>
  </mc:AlternateContent>
  <bookViews>
    <workbookView xWindow="0" yWindow="0" windowWidth="20490" windowHeight="6720" tabRatio="726" activeTab="5"/>
  </bookViews>
  <sheets>
    <sheet name="Costos siembra nueva" sheetId="1" r:id="rId1"/>
    <sheet name="Mantenimiento de cultivo" sheetId="8" r:id="rId2"/>
    <sheet name="Cosecha" sheetId="7" r:id="rId3"/>
    <sheet name="Producción mieles" sheetId="4" r:id="rId4"/>
    <sheet name="Producción panela" sheetId="5" r:id="rId5"/>
    <sheet name="Resumen costos" sheetId="6" r:id="rId6"/>
  </sheets>
  <definedNames>
    <definedName name="_xlnm.Print_Area" localSheetId="2">Cosecha!$B$1:$P$66</definedName>
    <definedName name="_xlnm.Print_Area" localSheetId="0">'Costos siembra nueva'!$B$1:$I$81</definedName>
    <definedName name="_xlnm.Print_Area" localSheetId="1">'Mantenimiento de cultivo'!$B$1:$I$82</definedName>
    <definedName name="_xlnm.Print_Area" localSheetId="3">'Producción mieles'!$B$1:$I$118</definedName>
    <definedName name="_xlnm.Print_Area" localSheetId="4">'Producción panela'!$B$1:$K$121</definedName>
    <definedName name="_xlnm.Print_Area" localSheetId="5">'Resumen costos'!$B$1:$K$26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6" l="1"/>
  <c r="E6" i="6"/>
  <c r="E5" i="6"/>
  <c r="E3" i="6"/>
  <c r="P21" i="6"/>
  <c r="Q21" i="6"/>
  <c r="R21" i="6" l="1"/>
  <c r="O44" i="6" l="1"/>
  <c r="O43" i="6"/>
  <c r="O42" i="6"/>
  <c r="N20" i="6"/>
  <c r="N21" i="6"/>
  <c r="N22" i="6"/>
  <c r="N23" i="6"/>
  <c r="N19" i="6"/>
  <c r="N13" i="6"/>
  <c r="N14" i="6"/>
  <c r="N15" i="6"/>
  <c r="N12" i="6"/>
  <c r="O8" i="6"/>
  <c r="O7" i="6"/>
  <c r="O6" i="6"/>
  <c r="H51" i="5"/>
  <c r="I109" i="5"/>
  <c r="I97" i="5"/>
  <c r="I78" i="5"/>
  <c r="I59" i="5"/>
  <c r="J65" i="5"/>
  <c r="I65" i="5"/>
  <c r="J84" i="5"/>
  <c r="J103" i="5"/>
  <c r="I84" i="5"/>
  <c r="I103" i="5"/>
  <c r="H85" i="5"/>
  <c r="H19" i="1"/>
  <c r="H30" i="1" s="1"/>
  <c r="H18" i="1"/>
  <c r="F6" i="7"/>
  <c r="E6" i="4" s="1"/>
  <c r="E6" i="5" s="1"/>
  <c r="F7" i="7"/>
  <c r="F8" i="7"/>
  <c r="F9" i="7"/>
  <c r="F10" i="7"/>
  <c r="F11" i="7"/>
  <c r="H34" i="5"/>
  <c r="H33" i="4"/>
  <c r="F111" i="5"/>
  <c r="F99" i="5"/>
  <c r="F80" i="5"/>
  <c r="F61" i="5"/>
  <c r="F37" i="5"/>
  <c r="F108" i="4"/>
  <c r="F96" i="4"/>
  <c r="F76" i="4"/>
  <c r="F57" i="4"/>
  <c r="F36" i="4"/>
  <c r="M30" i="7"/>
  <c r="M41" i="7"/>
  <c r="M52" i="7"/>
  <c r="F52" i="7"/>
  <c r="F41" i="7"/>
  <c r="F30" i="7"/>
  <c r="F72" i="8"/>
  <c r="F59" i="8"/>
  <c r="F33" i="8"/>
  <c r="H31" i="4"/>
  <c r="F69" i="1"/>
  <c r="F54" i="1"/>
  <c r="F31" i="1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58" i="8" s="1"/>
  <c r="G59" i="8" s="1"/>
  <c r="H53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106" i="4"/>
  <c r="H105" i="4"/>
  <c r="H104" i="4"/>
  <c r="H103" i="4"/>
  <c r="H102" i="4"/>
  <c r="H59" i="5"/>
  <c r="H58" i="5"/>
  <c r="H57" i="5"/>
  <c r="H56" i="5"/>
  <c r="H55" i="5"/>
  <c r="H54" i="5"/>
  <c r="H53" i="5"/>
  <c r="H50" i="5"/>
  <c r="H49" i="5"/>
  <c r="H48" i="5"/>
  <c r="H47" i="5"/>
  <c r="H46" i="5"/>
  <c r="H45" i="5"/>
  <c r="H44" i="5"/>
  <c r="H43" i="5"/>
  <c r="H78" i="5"/>
  <c r="H77" i="5"/>
  <c r="H76" i="5"/>
  <c r="H75" i="5"/>
  <c r="H74" i="5"/>
  <c r="H73" i="5"/>
  <c r="H72" i="5"/>
  <c r="H71" i="5"/>
  <c r="H70" i="5"/>
  <c r="H69" i="5"/>
  <c r="H68" i="5"/>
  <c r="H67" i="5"/>
  <c r="H109" i="5"/>
  <c r="H108" i="5"/>
  <c r="H107" i="5"/>
  <c r="H106" i="5"/>
  <c r="H105" i="5"/>
  <c r="O39" i="7"/>
  <c r="O38" i="7"/>
  <c r="O37" i="7"/>
  <c r="H20" i="5"/>
  <c r="H39" i="7"/>
  <c r="H38" i="7"/>
  <c r="H37" i="7"/>
  <c r="H97" i="5"/>
  <c r="H96" i="5"/>
  <c r="H95" i="5"/>
  <c r="H94" i="5"/>
  <c r="H93" i="5"/>
  <c r="G3" i="6"/>
  <c r="J3" i="6"/>
  <c r="H66" i="4"/>
  <c r="H55" i="4"/>
  <c r="H54" i="4"/>
  <c r="H52" i="4"/>
  <c r="H51" i="4"/>
  <c r="H50" i="4"/>
  <c r="H49" i="4"/>
  <c r="H48" i="4"/>
  <c r="H47" i="4"/>
  <c r="H46" i="4"/>
  <c r="H45" i="4"/>
  <c r="H44" i="4"/>
  <c r="H43" i="4"/>
  <c r="H42" i="4"/>
  <c r="H41" i="4"/>
  <c r="H64" i="4"/>
  <c r="H65" i="4"/>
  <c r="H67" i="4"/>
  <c r="H68" i="4"/>
  <c r="H69" i="4"/>
  <c r="H70" i="4"/>
  <c r="H71" i="4"/>
  <c r="H72" i="4"/>
  <c r="H73" i="4"/>
  <c r="H104" i="5"/>
  <c r="H101" i="4"/>
  <c r="H66" i="5"/>
  <c r="E13" i="8"/>
  <c r="E11" i="4"/>
  <c r="E11" i="5"/>
  <c r="E12" i="8"/>
  <c r="E10" i="4"/>
  <c r="E10" i="5"/>
  <c r="E11" i="8"/>
  <c r="E9" i="4"/>
  <c r="E9" i="5"/>
  <c r="E10" i="8"/>
  <c r="E8" i="4"/>
  <c r="E8" i="5"/>
  <c r="E9" i="8"/>
  <c r="E7" i="4"/>
  <c r="E7" i="5"/>
  <c r="E8" i="8"/>
  <c r="H29" i="8"/>
  <c r="H28" i="8"/>
  <c r="H27" i="8"/>
  <c r="H26" i="8"/>
  <c r="H25" i="8"/>
  <c r="H24" i="8"/>
  <c r="H23" i="8"/>
  <c r="H22" i="8"/>
  <c r="H21" i="8"/>
  <c r="H30" i="8"/>
  <c r="H77" i="8"/>
  <c r="H110" i="5"/>
  <c r="H107" i="4"/>
  <c r="H22" i="5"/>
  <c r="G111" i="5"/>
  <c r="H111" i="5"/>
  <c r="H112" i="5"/>
  <c r="H113" i="5"/>
  <c r="G108" i="4"/>
  <c r="H108" i="4"/>
  <c r="H109" i="4"/>
  <c r="H110" i="4"/>
  <c r="E4" i="6"/>
  <c r="H46" i="1"/>
  <c r="H45" i="1"/>
  <c r="H44" i="1"/>
  <c r="H92" i="5"/>
  <c r="H91" i="5"/>
  <c r="C21" i="6"/>
  <c r="D21" i="6" s="1"/>
  <c r="H81" i="4"/>
  <c r="H116" i="5"/>
  <c r="H21" i="7"/>
  <c r="H70" i="8"/>
  <c r="H69" i="8"/>
  <c r="H68" i="8"/>
  <c r="H67" i="8"/>
  <c r="H66" i="8"/>
  <c r="H65" i="8"/>
  <c r="H71" i="8" s="1"/>
  <c r="G72" i="8" s="1"/>
  <c r="H72" i="8" s="1"/>
  <c r="H73" i="8" s="1"/>
  <c r="H74" i="8" s="1"/>
  <c r="H64" i="8"/>
  <c r="H38" i="8"/>
  <c r="H31" i="8"/>
  <c r="H20" i="8"/>
  <c r="H19" i="8"/>
  <c r="H32" i="8" s="1"/>
  <c r="H18" i="8"/>
  <c r="H17" i="8"/>
  <c r="H20" i="7"/>
  <c r="O20" i="7"/>
  <c r="O21" i="7"/>
  <c r="H22" i="7"/>
  <c r="O22" i="7"/>
  <c r="H23" i="7"/>
  <c r="H29" i="7" s="1"/>
  <c r="O23" i="7"/>
  <c r="H24" i="7"/>
  <c r="O24" i="7"/>
  <c r="H25" i="7"/>
  <c r="O25" i="7"/>
  <c r="H26" i="7"/>
  <c r="O26" i="7"/>
  <c r="H27" i="7"/>
  <c r="O27" i="7"/>
  <c r="H28" i="7"/>
  <c r="O28" i="7"/>
  <c r="H35" i="7"/>
  <c r="H40" i="7" s="1"/>
  <c r="G41" i="7" s="1"/>
  <c r="H41" i="7" s="1"/>
  <c r="H42" i="7" s="1"/>
  <c r="H43" i="7" s="1"/>
  <c r="O35" i="7"/>
  <c r="H36" i="7"/>
  <c r="O36" i="7"/>
  <c r="H46" i="7"/>
  <c r="O46" i="7"/>
  <c r="H47" i="7"/>
  <c r="H51" i="7" s="1"/>
  <c r="G52" i="7" s="1"/>
  <c r="H52" i="7" s="1"/>
  <c r="H53" i="7" s="1"/>
  <c r="H54" i="7" s="1"/>
  <c r="O47" i="7"/>
  <c r="H48" i="7"/>
  <c r="O48" i="7"/>
  <c r="H49" i="7"/>
  <c r="O49" i="7"/>
  <c r="H50" i="7"/>
  <c r="O50" i="7"/>
  <c r="H57" i="7"/>
  <c r="O57" i="7"/>
  <c r="O51" i="7"/>
  <c r="C12" i="6"/>
  <c r="D12" i="6" s="1"/>
  <c r="O40" i="7"/>
  <c r="O29" i="7"/>
  <c r="N30" i="7"/>
  <c r="O30" i="7"/>
  <c r="O31" i="7"/>
  <c r="O32" i="7" s="1"/>
  <c r="H74" i="1"/>
  <c r="H113" i="4"/>
  <c r="H67" i="1"/>
  <c r="H66" i="1"/>
  <c r="H65" i="1"/>
  <c r="H64" i="1"/>
  <c r="H63" i="1"/>
  <c r="H62" i="1"/>
  <c r="H61" i="1"/>
  <c r="H60" i="1"/>
  <c r="Q19" i="6" s="1"/>
  <c r="P19" i="6" s="1"/>
  <c r="H59" i="1"/>
  <c r="H49" i="1"/>
  <c r="H50" i="1"/>
  <c r="H51" i="1"/>
  <c r="H47" i="1"/>
  <c r="H48" i="1"/>
  <c r="H29" i="1"/>
  <c r="H28" i="1"/>
  <c r="H27" i="1"/>
  <c r="H26" i="1"/>
  <c r="H24" i="1"/>
  <c r="H23" i="1"/>
  <c r="H22" i="1"/>
  <c r="H21" i="1"/>
  <c r="H20" i="1"/>
  <c r="N41" i="7"/>
  <c r="O41" i="7"/>
  <c r="O42" i="7" s="1"/>
  <c r="O43" i="7" s="1"/>
  <c r="N52" i="7"/>
  <c r="O52" i="7"/>
  <c r="O53" i="7" s="1"/>
  <c r="O54" i="7" s="1"/>
  <c r="O58" i="7"/>
  <c r="H68" i="1"/>
  <c r="G69" i="1" s="1"/>
  <c r="H69" i="1" s="1"/>
  <c r="H70" i="1" s="1"/>
  <c r="H71" i="1" s="1"/>
  <c r="H30" i="4"/>
  <c r="H29" i="4"/>
  <c r="H27" i="4"/>
  <c r="H26" i="4"/>
  <c r="H25" i="4"/>
  <c r="H24" i="4"/>
  <c r="H23" i="4"/>
  <c r="H22" i="4"/>
  <c r="H74" i="4"/>
  <c r="H21" i="4"/>
  <c r="H28" i="4"/>
  <c r="H32" i="4"/>
  <c r="H20" i="4"/>
  <c r="H90" i="5"/>
  <c r="H89" i="5"/>
  <c r="H88" i="5"/>
  <c r="H87" i="5"/>
  <c r="H86" i="5"/>
  <c r="H79" i="5"/>
  <c r="G80" i="5" s="1"/>
  <c r="H80" i="5" s="1"/>
  <c r="H81" i="5" s="1"/>
  <c r="H35" i="5"/>
  <c r="H21" i="5"/>
  <c r="H23" i="5"/>
  <c r="H24" i="5"/>
  <c r="H25" i="5"/>
  <c r="H26" i="5"/>
  <c r="H27" i="5"/>
  <c r="H28" i="5"/>
  <c r="H29" i="5"/>
  <c r="H30" i="5"/>
  <c r="H31" i="5"/>
  <c r="H32" i="5"/>
  <c r="H33" i="5"/>
  <c r="H34" i="4"/>
  <c r="H42" i="5"/>
  <c r="H63" i="4"/>
  <c r="H62" i="4"/>
  <c r="H43" i="1"/>
  <c r="H42" i="1"/>
  <c r="H41" i="1"/>
  <c r="H40" i="1"/>
  <c r="H39" i="1"/>
  <c r="H38" i="1"/>
  <c r="H53" i="1" s="1"/>
  <c r="G54" i="1" s="1"/>
  <c r="H37" i="1"/>
  <c r="H36" i="1"/>
  <c r="H17" i="1"/>
  <c r="H52" i="1"/>
  <c r="H75" i="4"/>
  <c r="G76" i="4"/>
  <c r="H76" i="4"/>
  <c r="H95" i="4"/>
  <c r="G96" i="4"/>
  <c r="H96" i="4"/>
  <c r="H97" i="4"/>
  <c r="H77" i="4"/>
  <c r="H78" i="4"/>
  <c r="H35" i="4"/>
  <c r="G36" i="4"/>
  <c r="H98" i="4"/>
  <c r="H56" i="4"/>
  <c r="G57" i="4"/>
  <c r="H57" i="4"/>
  <c r="H36" i="4"/>
  <c r="H37" i="4"/>
  <c r="H114" i="4"/>
  <c r="H38" i="4"/>
  <c r="H58" i="4"/>
  <c r="H59" i="4"/>
  <c r="H115" i="4"/>
  <c r="H116" i="4"/>
  <c r="H117" i="4"/>
  <c r="E14" i="6"/>
  <c r="H98" i="5" l="1"/>
  <c r="G99" i="5"/>
  <c r="H99" i="5" s="1"/>
  <c r="H100" i="5" s="1"/>
  <c r="H101" i="5" s="1"/>
  <c r="H36" i="5"/>
  <c r="G37" i="5" s="1"/>
  <c r="H37" i="5" s="1"/>
  <c r="H38" i="5" s="1"/>
  <c r="H52" i="5"/>
  <c r="H60" i="5" s="1"/>
  <c r="H82" i="5"/>
  <c r="H58" i="7"/>
  <c r="G30" i="7"/>
  <c r="H30" i="7" s="1"/>
  <c r="H31" i="7" s="1"/>
  <c r="H32" i="7" s="1"/>
  <c r="R14" i="6"/>
  <c r="P14" i="6"/>
  <c r="Q14" i="6"/>
  <c r="H59" i="7"/>
  <c r="H60" i="7" s="1"/>
  <c r="H61" i="7" s="1"/>
  <c r="H62" i="7" s="1"/>
  <c r="O59" i="7"/>
  <c r="O60" i="7" s="1"/>
  <c r="O61" i="7" s="1"/>
  <c r="R20" i="6"/>
  <c r="P20" i="6" s="1"/>
  <c r="H59" i="8"/>
  <c r="H60" i="8" s="1"/>
  <c r="H61" i="8" s="1"/>
  <c r="R13" i="6" s="1"/>
  <c r="P13" i="6" s="1"/>
  <c r="H54" i="1"/>
  <c r="H55" i="1" s="1"/>
  <c r="H56" i="1" s="1"/>
  <c r="Q12" i="6" s="1"/>
  <c r="P12" i="6" s="1"/>
  <c r="G33" i="8"/>
  <c r="H33" i="8" s="1"/>
  <c r="H34" i="8" s="1"/>
  <c r="H78" i="8"/>
  <c r="H75" i="1"/>
  <c r="G31" i="1"/>
  <c r="H31" i="1" s="1"/>
  <c r="H32" i="1" s="1"/>
  <c r="P43" i="6"/>
  <c r="P42" i="6"/>
  <c r="J15" i="5"/>
  <c r="P44" i="6"/>
  <c r="G61" i="5" l="1"/>
  <c r="H61" i="5" s="1"/>
  <c r="H62" i="5" s="1"/>
  <c r="H118" i="5" s="1"/>
  <c r="H63" i="5"/>
  <c r="H117" i="5"/>
  <c r="H64" i="7"/>
  <c r="Q8" i="6"/>
  <c r="P8" i="6"/>
  <c r="R8" i="6"/>
  <c r="I22" i="5"/>
  <c r="J22" i="5" s="1"/>
  <c r="I26" i="5"/>
  <c r="J26" i="5" s="1"/>
  <c r="I30" i="5"/>
  <c r="J30" i="5" s="1"/>
  <c r="I34" i="5"/>
  <c r="J34" i="5" s="1"/>
  <c r="I24" i="5"/>
  <c r="J24" i="5" s="1"/>
  <c r="I28" i="5"/>
  <c r="J28" i="5" s="1"/>
  <c r="I32" i="5"/>
  <c r="I21" i="5"/>
  <c r="J21" i="5" s="1"/>
  <c r="I25" i="5"/>
  <c r="I29" i="5"/>
  <c r="J29" i="5" s="1"/>
  <c r="I33" i="5"/>
  <c r="I20" i="5"/>
  <c r="J20" i="5" s="1"/>
  <c r="I23" i="5"/>
  <c r="I27" i="5"/>
  <c r="I31" i="5"/>
  <c r="I35" i="5"/>
  <c r="I75" i="5"/>
  <c r="J75" i="5" s="1"/>
  <c r="H35" i="8"/>
  <c r="R7" i="6" s="1"/>
  <c r="H79" i="8"/>
  <c r="H80" i="8" s="1"/>
  <c r="H81" i="8" s="1"/>
  <c r="H76" i="1"/>
  <c r="H77" i="1" s="1"/>
  <c r="H33" i="1"/>
  <c r="Q6" i="6" s="1"/>
  <c r="H39" i="5"/>
  <c r="I53" i="5"/>
  <c r="J53" i="5" s="1"/>
  <c r="I71" i="5"/>
  <c r="J71" i="5" s="1"/>
  <c r="I52" i="5"/>
  <c r="J52" i="5" s="1"/>
  <c r="J109" i="5"/>
  <c r="J33" i="5"/>
  <c r="I48" i="5"/>
  <c r="J48" i="5" s="1"/>
  <c r="I108" i="5"/>
  <c r="J108" i="5" s="1"/>
  <c r="I77" i="5"/>
  <c r="J77" i="5" s="1"/>
  <c r="J59" i="5"/>
  <c r="I85" i="5"/>
  <c r="J85" i="5" s="1"/>
  <c r="I55" i="5"/>
  <c r="J55" i="5" s="1"/>
  <c r="I105" i="5"/>
  <c r="J105" i="5" s="1"/>
  <c r="J97" i="5"/>
  <c r="I47" i="5"/>
  <c r="J47" i="5" s="1"/>
  <c r="I69" i="5"/>
  <c r="J69" i="5" s="1"/>
  <c r="R22" i="6" s="1"/>
  <c r="R23" i="6" s="1"/>
  <c r="I66" i="5"/>
  <c r="J66" i="5" s="1"/>
  <c r="I106" i="5"/>
  <c r="J106" i="5" s="1"/>
  <c r="I67" i="5"/>
  <c r="J67" i="5" s="1"/>
  <c r="I44" i="5"/>
  <c r="J44" i="5" s="1"/>
  <c r="O9" i="6"/>
  <c r="O10" i="6" s="1"/>
  <c r="J25" i="5"/>
  <c r="J31" i="5"/>
  <c r="J78" i="5"/>
  <c r="I90" i="5"/>
  <c r="J90" i="5" s="1"/>
  <c r="I73" i="5"/>
  <c r="J73" i="5" s="1"/>
  <c r="I104" i="5"/>
  <c r="J104" i="5" s="1"/>
  <c r="I74" i="5"/>
  <c r="J74" i="5" s="1"/>
  <c r="J35" i="5"/>
  <c r="I49" i="5"/>
  <c r="J49" i="5" s="1"/>
  <c r="I58" i="5"/>
  <c r="J58" i="5" s="1"/>
  <c r="I76" i="5"/>
  <c r="J76" i="5" s="1"/>
  <c r="I70" i="5"/>
  <c r="J70" i="5" s="1"/>
  <c r="P22" i="6" s="1"/>
  <c r="P23" i="6" s="1"/>
  <c r="I107" i="5"/>
  <c r="J107" i="5" s="1"/>
  <c r="J32" i="5"/>
  <c r="J27" i="5"/>
  <c r="I50" i="5"/>
  <c r="J50" i="5" s="1"/>
  <c r="I68" i="5"/>
  <c r="J68" i="5" s="1"/>
  <c r="I45" i="5"/>
  <c r="J45" i="5" s="1"/>
  <c r="I46" i="5"/>
  <c r="J46" i="5" s="1"/>
  <c r="I42" i="5"/>
  <c r="J42" i="5" s="1"/>
  <c r="I54" i="5"/>
  <c r="J54" i="5" s="1"/>
  <c r="I72" i="5"/>
  <c r="J72" i="5" s="1"/>
  <c r="I51" i="5"/>
  <c r="J51" i="5" s="1"/>
  <c r="I56" i="5"/>
  <c r="J56" i="5" s="1"/>
  <c r="I43" i="5"/>
  <c r="J43" i="5" s="1"/>
  <c r="I57" i="5"/>
  <c r="J57" i="5" s="1"/>
  <c r="J23" i="5"/>
  <c r="Q22" i="6"/>
  <c r="Q23" i="6" s="1"/>
  <c r="F12" i="6"/>
  <c r="F21" i="6"/>
  <c r="H119" i="5" l="1"/>
  <c r="H120" i="5" s="1"/>
  <c r="E23" i="6" s="1"/>
  <c r="J60" i="5"/>
  <c r="J61" i="5" s="1"/>
  <c r="J62" i="5" s="1"/>
  <c r="P7" i="6"/>
  <c r="O33" i="6"/>
  <c r="H79" i="1"/>
  <c r="H78" i="1"/>
  <c r="P6" i="6"/>
  <c r="O30" i="6"/>
  <c r="J98" i="5"/>
  <c r="J99" i="5" s="1"/>
  <c r="J100" i="5" s="1"/>
  <c r="J36" i="5"/>
  <c r="J37" i="5" s="1"/>
  <c r="J38" i="5" s="1"/>
  <c r="J110" i="5"/>
  <c r="J111" i="5" s="1"/>
  <c r="J112" i="5" s="1"/>
  <c r="J113" i="5" s="1"/>
  <c r="J79" i="5"/>
  <c r="J80" i="5" s="1"/>
  <c r="J81" i="5" s="1"/>
  <c r="J82" i="5" s="1"/>
  <c r="I36" i="5"/>
  <c r="J63" i="5"/>
  <c r="P15" i="6" s="1"/>
  <c r="P16" i="6" s="1"/>
  <c r="J101" i="5" l="1"/>
  <c r="O36" i="6"/>
  <c r="Q36" i="6" s="1"/>
  <c r="K80" i="8"/>
  <c r="E21" i="6"/>
  <c r="G21" i="6" s="1"/>
  <c r="H21" i="6" s="1"/>
  <c r="E24" i="6" s="1"/>
  <c r="E25" i="6" s="1"/>
  <c r="E27" i="6" s="1"/>
  <c r="E12" i="6"/>
  <c r="G12" i="6" s="1"/>
  <c r="J39" i="5"/>
  <c r="Q9" i="6" s="1"/>
  <c r="Q10" i="6" s="1"/>
  <c r="J117" i="5"/>
  <c r="J118" i="5"/>
  <c r="P26" i="6"/>
  <c r="Q26" i="6" s="1"/>
  <c r="P9" i="6"/>
  <c r="P10" i="6" s="1"/>
  <c r="R15" i="6"/>
  <c r="R16" i="6" s="1"/>
  <c r="Q15" i="6"/>
  <c r="Q16" i="6" s="1"/>
  <c r="R9" i="6" l="1"/>
  <c r="R10" i="6" s="1"/>
  <c r="O37" i="6"/>
  <c r="O34" i="6"/>
  <c r="O35" i="6" s="1"/>
  <c r="O31" i="6"/>
  <c r="O32" i="6" s="1"/>
  <c r="H12" i="6"/>
  <c r="E15" i="6" s="1"/>
  <c r="E16" i="6" s="1"/>
  <c r="Q31" i="6"/>
  <c r="Q37" i="6"/>
  <c r="Q38" i="6" s="1"/>
  <c r="Q34" i="6"/>
  <c r="P31" i="6"/>
  <c r="P37" i="6"/>
  <c r="E28" i="6"/>
  <c r="P34" i="6"/>
  <c r="J119" i="5"/>
  <c r="P27" i="6"/>
  <c r="Q27" i="6"/>
  <c r="R26" i="6"/>
  <c r="R27" i="6" s="1"/>
  <c r="O38" i="6" l="1"/>
  <c r="P36" i="6"/>
  <c r="P38" i="6" s="1"/>
  <c r="P30" i="6"/>
  <c r="Q30" i="6" s="1"/>
  <c r="Q32" i="6" s="1"/>
  <c r="P33" i="6"/>
  <c r="P32" i="6" l="1"/>
  <c r="Q33" i="6"/>
  <c r="Q35" i="6" s="1"/>
  <c r="P35" i="6"/>
</calcChain>
</file>

<file path=xl/comments1.xml><?xml version="1.0" encoding="utf-8"?>
<comments xmlns="http://schemas.openxmlformats.org/spreadsheetml/2006/main">
  <authors>
    <author>Usuario de Windows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Cantidad de cortes para amortizacion</t>
        </r>
      </text>
    </comment>
  </commentList>
</comments>
</file>

<file path=xl/comments2.xml><?xml version="1.0" encoding="utf-8"?>
<comments xmlns="http://schemas.openxmlformats.org/spreadsheetml/2006/main">
  <authors>
    <author>tc={131F9163-A335-4E3C-8D10-B552D9757019}</author>
    <author>Usuario de Windows</author>
  </authors>
  <commentList>
    <comment ref="E62" authorId="0" shapeId="0">
      <text>
        <r>
          <rPr>
            <sz val="10"/>
            <rFont val="Arial"/>
            <family val="2"/>
          </rPr>
          <t>Comentario:
    cargas, kg u otro</t>
        </r>
      </text>
    </comment>
    <comment ref="D69" authorId="1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No entra en contacto con el producto.
Para labores de aseo, por ejemplo</t>
        </r>
      </text>
    </comment>
  </commentList>
</comments>
</file>

<file path=xl/comments3.xml><?xml version="1.0" encoding="utf-8"?>
<comments xmlns="http://schemas.openxmlformats.org/spreadsheetml/2006/main">
  <authors>
    <author>tc={2B083866-C50C-4255-8828-BEBD9E794880}</author>
    <author>Usuario de Windows</author>
    <author>tc={7E6825D9-7B6A-4655-AA94-1ED34DB65A7D}</author>
  </authors>
  <commentList>
    <comment ref="D19" authorId="0" shapeId="0">
      <text>
        <r>
          <rPr>
            <sz val="10"/>
            <rFont val="Arial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incluye alimentación de 15 mil diario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Revisar la cantidad de turnos/horas trabajados en esta labor</t>
        </r>
      </text>
    </comment>
    <comment ref="D21" authorId="2" shapeId="0">
      <text>
        <r>
          <rPr>
            <sz val="10"/>
            <rFont val="Arial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ya esta en el cat</t>
        </r>
      </text>
    </comment>
    <comment ref="D51" authorId="1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Empaque en contacto directo con el producto.
Ej: termoencogible, bolsa doypack libra
Especificar en la descripción</t>
        </r>
      </text>
    </comment>
    <comment ref="D52" authorId="1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Agrupa varias unidades individuales.
Ej: Caja de cartón, bolsa arrobera, papel kraft.
Especificar cuál en la descripción</t>
        </r>
      </text>
    </comment>
    <comment ref="D73" authorId="1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No entra en contacto con el producto.
Para labores de aseo, por ejemplo</t>
        </r>
      </text>
    </comment>
  </commentList>
</comments>
</file>

<file path=xl/comments4.xml><?xml version="1.0" encoding="utf-8"?>
<comments xmlns="http://schemas.openxmlformats.org/spreadsheetml/2006/main">
  <authors>
    <author>Oscar Martinez</author>
  </authors>
  <commentList>
    <comment ref="N30" authorId="0" shapeId="0">
      <text>
        <r>
          <rPr>
            <b/>
            <sz val="9"/>
            <color indexed="81"/>
            <rFont val="Tahoma"/>
            <family val="2"/>
          </rPr>
          <t>Oscar Martinez:</t>
        </r>
        <r>
          <rPr>
            <sz val="9"/>
            <color indexed="81"/>
            <rFont val="Tahoma"/>
            <family val="2"/>
          </rPr>
          <t xml:space="preserve">
Incluye:
-Costo de siembra nueva
-Cosecha
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Oscar Martinez:</t>
        </r>
        <r>
          <rPr>
            <sz val="9"/>
            <color indexed="81"/>
            <rFont val="Tahoma"/>
            <family val="2"/>
          </rPr>
          <t xml:space="preserve">
Incluye:
-Costo de mantenimiento
-Valor a amortizar de la siembra nueva
-Cosecha
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Oscar Martinez:</t>
        </r>
        <r>
          <rPr>
            <sz val="9"/>
            <color indexed="81"/>
            <rFont val="Tahoma"/>
            <family val="2"/>
          </rPr>
          <t xml:space="preserve">
Incluye:
-Costo de mantenimiento
-Valor a amortizar de la siembra nueva
-Cosecha
</t>
        </r>
      </text>
    </comment>
  </commentList>
</comments>
</file>

<file path=xl/sharedStrings.xml><?xml version="1.0" encoding="utf-8"?>
<sst xmlns="http://schemas.openxmlformats.org/spreadsheetml/2006/main" count="1068" uniqueCount="382">
  <si>
    <t>Unitaria</t>
  </si>
  <si>
    <t xml:space="preserve">Costos indirectos y administrativos </t>
  </si>
  <si>
    <t xml:space="preserve">Asistencia técnica </t>
  </si>
  <si>
    <t>Unidad</t>
  </si>
  <si>
    <t>Cantidad</t>
  </si>
  <si>
    <t>Global</t>
  </si>
  <si>
    <t>Destape cepas, encalle residuos de cosecha</t>
  </si>
  <si>
    <t xml:space="preserve">Aplicación de correctivo edáfico </t>
  </si>
  <si>
    <t>Precosecha (Revisión y muestreo)</t>
  </si>
  <si>
    <t xml:space="preserve">unitario </t>
  </si>
  <si>
    <t>Porcentaje de área cercana</t>
  </si>
  <si>
    <t>Porcentaje de área lejana</t>
  </si>
  <si>
    <t xml:space="preserve">Kg. de panela programados por molienda </t>
  </si>
  <si>
    <t>MANO DE OBRA</t>
  </si>
  <si>
    <t>Jornal</t>
  </si>
  <si>
    <t>1.1</t>
  </si>
  <si>
    <t>1.2</t>
  </si>
  <si>
    <t xml:space="preserve">Oficios varios </t>
  </si>
  <si>
    <t>1.3</t>
  </si>
  <si>
    <t>1.4</t>
  </si>
  <si>
    <t>Molienda provisión de caña</t>
  </si>
  <si>
    <t>1.5</t>
  </si>
  <si>
    <t>1.6</t>
  </si>
  <si>
    <t>1.7</t>
  </si>
  <si>
    <t xml:space="preserve">Asistencia Técnica </t>
  </si>
  <si>
    <t xml:space="preserve">Global </t>
  </si>
  <si>
    <t>1.11</t>
  </si>
  <si>
    <t>Total Costos directos 1</t>
  </si>
  <si>
    <t>Limpieza de equipos molienda y evaporación</t>
  </si>
  <si>
    <t>2.3</t>
  </si>
  <si>
    <t xml:space="preserve">Limpieza y manejo de cuarto de moldeo </t>
  </si>
  <si>
    <t>Mantenimiento de equipos</t>
  </si>
  <si>
    <t>Asistencia técnica servicios</t>
  </si>
  <si>
    <t>Total Costos directos 2</t>
  </si>
  <si>
    <t>3.1</t>
  </si>
  <si>
    <t>3.2</t>
  </si>
  <si>
    <t>3.3</t>
  </si>
  <si>
    <t>3.4</t>
  </si>
  <si>
    <t>3.5</t>
  </si>
  <si>
    <t>3.6</t>
  </si>
  <si>
    <t>Aceite Vegetal</t>
  </si>
  <si>
    <t>3.7</t>
  </si>
  <si>
    <t>3.8</t>
  </si>
  <si>
    <t>3.9</t>
  </si>
  <si>
    <t>Grasas</t>
  </si>
  <si>
    <t>Aceite lubricante</t>
  </si>
  <si>
    <t xml:space="preserve">Asistencia técnica insumos </t>
  </si>
  <si>
    <t>Asistencia técnica a manejo de insumos</t>
  </si>
  <si>
    <t>Total Costos directos 3</t>
  </si>
  <si>
    <t>Administración de labores numeral 3</t>
  </si>
  <si>
    <t xml:space="preserve">Asistencia técnica otros insumos </t>
  </si>
  <si>
    <t>Administrativos otros insumos</t>
  </si>
  <si>
    <t xml:space="preserve">Costos directos elaboración de miel </t>
  </si>
  <si>
    <t>Costos indirectos elaboración de miel</t>
  </si>
  <si>
    <t>1.9</t>
  </si>
  <si>
    <t>1.10</t>
  </si>
  <si>
    <t>Administración de labores numeral 1</t>
  </si>
  <si>
    <t>Total  Costos indirectos 1.</t>
  </si>
  <si>
    <t>2.1</t>
  </si>
  <si>
    <t>2.2</t>
  </si>
  <si>
    <t>2.4</t>
  </si>
  <si>
    <t>2.5</t>
  </si>
  <si>
    <t>2.6</t>
  </si>
  <si>
    <t>Administración de labores numeral 2</t>
  </si>
  <si>
    <t>Total  Costos indirectos 2.</t>
  </si>
  <si>
    <t>Gas</t>
  </si>
  <si>
    <t>3.10</t>
  </si>
  <si>
    <t>3.11</t>
  </si>
  <si>
    <t>3.12</t>
  </si>
  <si>
    <t>3.13</t>
  </si>
  <si>
    <t>Total  Costos indirectos 3.</t>
  </si>
  <si>
    <t xml:space="preserve">Dias de molienda </t>
  </si>
  <si>
    <t>Horas por jornal en un día de molienda</t>
  </si>
  <si>
    <t>Transporte</t>
  </si>
  <si>
    <t>1.8</t>
  </si>
  <si>
    <t>Manejo de producto pulverizado o moldeo</t>
  </si>
  <si>
    <t>Clarificación de jugos</t>
  </si>
  <si>
    <t>kg</t>
  </si>
  <si>
    <t xml:space="preserve">Kg panela /kg caña </t>
  </si>
  <si>
    <t>Cantidad caña  Kg caña/ 1 kg panela</t>
  </si>
  <si>
    <t>Costo caña       $ ./kg</t>
  </si>
  <si>
    <t>Costo cosecha       $ ./kg</t>
  </si>
  <si>
    <t>Caña costo en molino  $ ./kg</t>
  </si>
  <si>
    <t>°Brix panela</t>
  </si>
  <si>
    <t>Costo elaboración de 1 kg de panela bloque convencional</t>
  </si>
  <si>
    <t xml:space="preserve">Costo caña en molino para producción de 1kg de panela bloque convencional </t>
  </si>
  <si>
    <t>Caña $ ./ 1 kg panela</t>
  </si>
  <si>
    <t xml:space="preserve">Costo de producir un kg de panela bloque convencional </t>
  </si>
  <si>
    <t xml:space="preserve">$ ./ kg Panela </t>
  </si>
  <si>
    <t>°Brix miel</t>
  </si>
  <si>
    <t>Resumen - Costos de producción de miel</t>
  </si>
  <si>
    <t>Resumen - Costo de producción de panela</t>
  </si>
  <si>
    <t>Kg miel /kg caña</t>
  </si>
  <si>
    <t>Cantidad caña  Kg caña/ 1 kg miel</t>
  </si>
  <si>
    <t>Caña para 1kg miel
$ ./kg</t>
  </si>
  <si>
    <t>Costo elaboración de 1 kg de miel convencional</t>
  </si>
  <si>
    <t xml:space="preserve">Costo caña en molino para producción de 1kg de miel convencional </t>
  </si>
  <si>
    <t>Costo total de producción de 1 kg de miel convencional</t>
  </si>
  <si>
    <t>$ ./ kg miel</t>
  </si>
  <si>
    <t>Caña $ ./ 1 kg miel</t>
  </si>
  <si>
    <t>Valvulina</t>
  </si>
  <si>
    <t>INDICES</t>
  </si>
  <si>
    <t>Extracción (kg jugo / 100 kg de caña)</t>
  </si>
  <si>
    <t>ÍNDICES</t>
  </si>
  <si>
    <t>Caña para 1kg panela, $ ./kg</t>
  </si>
  <si>
    <t>Impurezas (kg jugo / 100 kg de caña)</t>
  </si>
  <si>
    <t>Recepción clasificación almacenamiento cañas</t>
  </si>
  <si>
    <t>2.7</t>
  </si>
  <si>
    <t>2.8</t>
  </si>
  <si>
    <t>2.9</t>
  </si>
  <si>
    <t>INDICES TÉCNICOS</t>
  </si>
  <si>
    <t>Clasificación, empaque y despachos</t>
  </si>
  <si>
    <t>1.12</t>
  </si>
  <si>
    <t>1.13</t>
  </si>
  <si>
    <t>1.14</t>
  </si>
  <si>
    <t>1.15</t>
  </si>
  <si>
    <t>1.16</t>
  </si>
  <si>
    <t>Personal de cocina</t>
  </si>
  <si>
    <t>Turnos de trabajo por día de molienda</t>
  </si>
  <si>
    <t>Energía</t>
  </si>
  <si>
    <t>Alquiler trapiche</t>
  </si>
  <si>
    <t>global</t>
  </si>
  <si>
    <t>2.10</t>
  </si>
  <si>
    <t>2.11</t>
  </si>
  <si>
    <t>2.12</t>
  </si>
  <si>
    <t>Regulador de ph (Cal)</t>
  </si>
  <si>
    <t>Regulador de ph (ácido cítrico)</t>
  </si>
  <si>
    <t>galón</t>
  </si>
  <si>
    <t>Agua potable</t>
  </si>
  <si>
    <t>Agua no potable</t>
  </si>
  <si>
    <t>DIESEL / ACPM</t>
  </si>
  <si>
    <t>unidad</t>
  </si>
  <si>
    <t>Combustible adicional (leña, guadua, etc)</t>
  </si>
  <si>
    <t>Floculante (balso, guácimo, cadillo, sintético)</t>
  </si>
  <si>
    <t>l</t>
  </si>
  <si>
    <t>Fibra</t>
  </si>
  <si>
    <t>Cinta, pegante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</si>
  <si>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</si>
  <si>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</si>
  <si>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</si>
  <si>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</si>
  <si>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</si>
  <si>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</si>
  <si>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</si>
  <si>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</si>
  <si>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</si>
  <si>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</si>
  <si>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</si>
  <si>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</si>
  <si>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</si>
  <si>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Cuota de fomento panelero</t>
  </si>
  <si>
    <t>Falor facturado</t>
  </si>
  <si>
    <t>ICA</t>
  </si>
  <si>
    <t>Retefuente</t>
  </si>
  <si>
    <t>ReteICA</t>
  </si>
  <si>
    <t>Financieros (factoring p.e.)</t>
  </si>
  <si>
    <t>Otros gastos comerciales</t>
  </si>
  <si>
    <t>Pago por emisiones</t>
  </si>
  <si>
    <t>Pago por vertimientos</t>
  </si>
  <si>
    <t>Planeación / dirección</t>
  </si>
  <si>
    <t>Envase [especificar capacidad]</t>
  </si>
  <si>
    <t>Limpieza de envases</t>
  </si>
  <si>
    <t>FORMATO COSTOS - PROCESO DE PRODUCCIÓN DE MIEL VIRGEN</t>
  </si>
  <si>
    <t>FORMATO COSTOS - PROCESO DE PRODUCCIÓN DE PANELA</t>
  </si>
  <si>
    <t>Análisis de suelos</t>
  </si>
  <si>
    <t>Rocería y limpieza con guadaña</t>
  </si>
  <si>
    <t>Rocería y limpieza con machete</t>
  </si>
  <si>
    <t>Aplicación correctivos suelos</t>
  </si>
  <si>
    <t>Subtotal 1 costos directos siembras.</t>
  </si>
  <si>
    <t>Subtotal 1 costos indirectos siembras.</t>
  </si>
  <si>
    <t xml:space="preserve">Insumos desinfección de semillas </t>
  </si>
  <si>
    <t>Correctores de suelo</t>
  </si>
  <si>
    <t xml:space="preserve">Microorganismos eficientes </t>
  </si>
  <si>
    <t xml:space="preserve">Herramientas </t>
  </si>
  <si>
    <t>FORMATO COSTOS - ESTABLECIMIENTO DE CULTIVO NUEVO (SIEMBRA)</t>
  </si>
  <si>
    <t>Descripción del Paquete Tecnológico para la siembra de lotes de caña panelera</t>
  </si>
  <si>
    <t>Corte de semilla</t>
  </si>
  <si>
    <t>Asistencia técnica siembras de lotes caña panelera, siembra</t>
  </si>
  <si>
    <t>MANO DE OBRA SIEMBRA</t>
  </si>
  <si>
    <t>2.13</t>
  </si>
  <si>
    <t>2.14</t>
  </si>
  <si>
    <t>2.15</t>
  </si>
  <si>
    <t xml:space="preserve">Asistencia técnica labores manuales </t>
  </si>
  <si>
    <t>INSUMOS</t>
  </si>
  <si>
    <t>Semilla</t>
  </si>
  <si>
    <t>Fertilizante 1 [Especificar cual]</t>
  </si>
  <si>
    <t>Fertilizante 2 [Especificar cual]</t>
  </si>
  <si>
    <t>Fertilizante 3 [Especificar cual]</t>
  </si>
  <si>
    <t>Control biológico</t>
  </si>
  <si>
    <t>Cercas, caminos y otros insumos</t>
  </si>
  <si>
    <t>Sub total 3. Costos indirectos</t>
  </si>
  <si>
    <t xml:space="preserve">Sub total 3. Costos directos </t>
  </si>
  <si>
    <t>SERVICIOS</t>
  </si>
  <si>
    <t>Transporte mayor de semillas</t>
  </si>
  <si>
    <t>Transporte menor de semillas (siembra)</t>
  </si>
  <si>
    <t>Transporte menor de semillas (resiembra)</t>
  </si>
  <si>
    <t xml:space="preserve">Valor arrendamiento del lote </t>
  </si>
  <si>
    <t xml:space="preserve">Otros </t>
  </si>
  <si>
    <t>RESUMEN - COSTOS DE PRODUCCIÓN DE MIEL</t>
  </si>
  <si>
    <t>Cantidad de jornales</t>
  </si>
  <si>
    <t>Costos directos siembra de caña</t>
  </si>
  <si>
    <t>Costos indirectos siembra de caña</t>
  </si>
  <si>
    <t>Costo total siembra</t>
  </si>
  <si>
    <t>RESUMEN - COSTOS DE ESTABLECIMIENTO DE CULTIVOS NUEVOS</t>
  </si>
  <si>
    <t>Cantidad de jornales (siembra)</t>
  </si>
  <si>
    <t>Cantidad de jornales (Total)</t>
  </si>
  <si>
    <t>Costos total, elaboración de miel</t>
  </si>
  <si>
    <t>Costo de producción por kg de miel virgen</t>
  </si>
  <si>
    <t>Sub total 4. Costos directos comercial y obligaciones</t>
  </si>
  <si>
    <t>Administrativos otros comercial y obligaciones</t>
  </si>
  <si>
    <t>Sub total 4. Costos indirectos comercial y obligaciones</t>
  </si>
  <si>
    <t>Administrativos mano de obra</t>
  </si>
  <si>
    <t>TOTAL 3. COSTOS SERVICIOS</t>
  </si>
  <si>
    <t>Administrativos servicios</t>
  </si>
  <si>
    <t>Unitario</t>
  </si>
  <si>
    <t>Costo Unitario</t>
  </si>
  <si>
    <t>Valor Total</t>
  </si>
  <si>
    <t>Costo CAT por tonelada lejana</t>
  </si>
  <si>
    <t>Costo CAT por tonelada cercana</t>
  </si>
  <si>
    <t>Costo total cosecha lejana</t>
  </si>
  <si>
    <t>Costo total cosecha cercana</t>
  </si>
  <si>
    <t>Costos indirectos cosecha de caña</t>
  </si>
  <si>
    <t>Costos directos cosecha de caña</t>
  </si>
  <si>
    <t>TOTAL 3. SERVICIOS</t>
  </si>
  <si>
    <t>Sub total 3. Costos directos</t>
  </si>
  <si>
    <t>Alimentación</t>
  </si>
  <si>
    <t>Mantenimiento de vías y caminos</t>
  </si>
  <si>
    <t>Transporte vehicular</t>
  </si>
  <si>
    <t>TOTAL 2. INSUMOS</t>
  </si>
  <si>
    <t>Sub total 2. Costos indirectos</t>
  </si>
  <si>
    <t>Sub total 2. Costos directos</t>
  </si>
  <si>
    <t>Asistencia técnica</t>
  </si>
  <si>
    <t>Mantenimiento de mulas</t>
  </si>
  <si>
    <t>Herramientas</t>
  </si>
  <si>
    <t>Sub total 1. Costos indirectos</t>
  </si>
  <si>
    <t>Sub total 1. Costos directos</t>
  </si>
  <si>
    <t>Apila caña</t>
  </si>
  <si>
    <t>Arriero (con mula)</t>
  </si>
  <si>
    <t>Arriero (sin mula)</t>
  </si>
  <si>
    <t>Alzador</t>
  </si>
  <si>
    <t>Cortero</t>
  </si>
  <si>
    <t>Cañas lejanas a la planta de producción</t>
  </si>
  <si>
    <t>Cañas cercanas a la planta de producción</t>
  </si>
  <si>
    <t>FORMATO COSTOS - COSECHA DE LA CAÑA</t>
  </si>
  <si>
    <t>Liberación</t>
  </si>
  <si>
    <t>Resiembra de cepas faltantes o reemplazo</t>
  </si>
  <si>
    <t>Limpieza 3</t>
  </si>
  <si>
    <t>Corrección de suelos</t>
  </si>
  <si>
    <t>2.16</t>
  </si>
  <si>
    <t xml:space="preserve">Sub total 2. Costos directos </t>
  </si>
  <si>
    <t>Plaguicida 1 [Especificar cual]</t>
  </si>
  <si>
    <t>Aplicación</t>
  </si>
  <si>
    <t>Costos directos mantenimiento</t>
  </si>
  <si>
    <t>Costos indirectos mantenimiento</t>
  </si>
  <si>
    <t>Costo total mantenimiento</t>
  </si>
  <si>
    <t>FORMATO COSTOS - MANTENIMIENTO DE SOCAS</t>
  </si>
  <si>
    <t>Rentabilidad de la caña (%)</t>
  </si>
  <si>
    <t>RESUMEN - COSTOS DE PRODUCCIÓN DE PANELA</t>
  </si>
  <si>
    <t xml:space="preserve">Costos directos elaboración de panela </t>
  </si>
  <si>
    <t>Costos indirectos elaboración de panela</t>
  </si>
  <si>
    <t>Costos total, elaboración de panela</t>
  </si>
  <si>
    <t>Costo de producción por kg de panela</t>
  </si>
  <si>
    <t>$ / kg miel - proceso</t>
  </si>
  <si>
    <t>$ ./ kg panela - proceso</t>
  </si>
  <si>
    <t>TOTAL 1. MANO DE OBRA</t>
  </si>
  <si>
    <t>TOTAL 1. MANO DE OBRA.</t>
  </si>
  <si>
    <t>TOTAL 2. INSUMOS.</t>
  </si>
  <si>
    <t>TOTAL 4. COMERCIAL Y OBLIGACIONES.</t>
  </si>
  <si>
    <t>Sub total 1. Costos directos mano de obra</t>
  </si>
  <si>
    <t>Sub total 1. Costos indirectos mano de obra</t>
  </si>
  <si>
    <t>TOTAL 1. MANO DE OBRA SIEMBRA.</t>
  </si>
  <si>
    <t>Sub total 3. Costos directos servicios</t>
  </si>
  <si>
    <t>Sub total 3. Costos indirectos servicios</t>
  </si>
  <si>
    <t>TOTAL 3. SERVICIOS.</t>
  </si>
  <si>
    <t>Sub total 2. Costos directos insumos</t>
  </si>
  <si>
    <t>Sub total 2. Costos indirectos insumos</t>
  </si>
  <si>
    <t>Herbicida 1 [Especificar cual]</t>
  </si>
  <si>
    <t>Herbicida 2 [Especificar cual]</t>
  </si>
  <si>
    <t xml:space="preserve">Kg. de miel programados por molienda </t>
  </si>
  <si>
    <t>°Brix jugo de caña crudo</t>
  </si>
  <si>
    <t>Costo por kg de caña</t>
  </si>
  <si>
    <t>Ponderado de costos de cosecha por kg</t>
  </si>
  <si>
    <t>2.17</t>
  </si>
  <si>
    <t>2.18</t>
  </si>
  <si>
    <t>Otros Insumos (Especificar cual)</t>
  </si>
  <si>
    <t>Otros Insumos (Especificar cuál)</t>
  </si>
  <si>
    <t>Gastos de Venta / Obligaciones</t>
  </si>
  <si>
    <t xml:space="preserve"> </t>
  </si>
  <si>
    <t>Fecha</t>
  </si>
  <si>
    <t>Departamento</t>
  </si>
  <si>
    <t>Municipio</t>
  </si>
  <si>
    <t>Vereda</t>
  </si>
  <si>
    <t>Finca</t>
  </si>
  <si>
    <t>Productor</t>
  </si>
  <si>
    <t>RESUMEN - COSTOS DE MANTENIMIENTO DE SOCAS</t>
  </si>
  <si>
    <t>Otros Insumos [Especificar cuál]</t>
  </si>
  <si>
    <t>TOTAL 2. COSTOS INSUMOS.</t>
  </si>
  <si>
    <t>TOTAL 3. COSTOS SERVICIOS.</t>
  </si>
  <si>
    <t>Producción de caña esperada en siembra (t/ha-pv)</t>
  </si>
  <si>
    <t>Producción de caña esperada en mantenimiento (t/ha-pv)</t>
  </si>
  <si>
    <t>Cantidad de caña a cosechar (ton)</t>
  </si>
  <si>
    <t>Cantidad de mulas por arriero</t>
  </si>
  <si>
    <t>INFORMACIÓN DE LA UNIDAD PRODUCTIVA</t>
  </si>
  <si>
    <t>Nombre de la unidad productiva</t>
  </si>
  <si>
    <t>INFORMACIÓN DE MOLIENDA</t>
  </si>
  <si>
    <t>OTROS COSTOS</t>
  </si>
  <si>
    <t>Otros</t>
  </si>
  <si>
    <t>5.1</t>
  </si>
  <si>
    <t>5.2</t>
  </si>
  <si>
    <t>5.3</t>
  </si>
  <si>
    <t>5.4</t>
  </si>
  <si>
    <t>Sub total 5. Costos directos otros costos</t>
  </si>
  <si>
    <t>Sub total 5. Costos indirectos otros costos</t>
  </si>
  <si>
    <t>TOTAL 5. OTROS COSTOS</t>
  </si>
  <si>
    <t>Control biológico (trichograma)</t>
  </si>
  <si>
    <t>lt</t>
  </si>
  <si>
    <t>Tiempo de renovación (cantidad de cortes)</t>
  </si>
  <si>
    <t>Valor a amortizar por corte</t>
  </si>
  <si>
    <t>Bodegaje</t>
  </si>
  <si>
    <t>Otros gastos</t>
  </si>
  <si>
    <t>Movimiento de bagazo (húmedo)</t>
  </si>
  <si>
    <t>Movimiento de bagazo (seco)</t>
  </si>
  <si>
    <t>Suministro de combustible a la hornilla</t>
  </si>
  <si>
    <t>Evaporación a punto de miel</t>
  </si>
  <si>
    <t>Evaporación a punto panela</t>
  </si>
  <si>
    <t>CAÑA (en caso de ser comprada)</t>
  </si>
  <si>
    <t>Tipo de corte</t>
  </si>
  <si>
    <t>Aplicación fertilizante</t>
  </si>
  <si>
    <t>Planeación o dirección</t>
  </si>
  <si>
    <t>5.5</t>
  </si>
  <si>
    <t>5.6</t>
  </si>
  <si>
    <t>4.14</t>
  </si>
  <si>
    <t>2.19</t>
  </si>
  <si>
    <t>2.20</t>
  </si>
  <si>
    <t>Ración/turno</t>
  </si>
  <si>
    <t>Entresaque</t>
  </si>
  <si>
    <t>Etiqueta</t>
  </si>
  <si>
    <t>Trazado y ahoyado (incluye limpieza de escombros, drenajes)</t>
  </si>
  <si>
    <t>Selección y desinfección de semilla (incluye corte)</t>
  </si>
  <si>
    <t>Siembra (distribución semilla y tapado)</t>
  </si>
  <si>
    <t>Acondicionador suelo [Gallinaza]</t>
  </si>
  <si>
    <t>Fertilizante 1 [Triple 15 o Triple 18]</t>
  </si>
  <si>
    <t xml:space="preserve">Corte Semillas </t>
  </si>
  <si>
    <t xml:space="preserve">Arreglo de cepas-corte a ras de suelo </t>
  </si>
  <si>
    <t>Limpieza 1 (Manual con machete)</t>
  </si>
  <si>
    <t>Limpieza 2 (Manual con machete)</t>
  </si>
  <si>
    <t>Aporque cepas</t>
  </si>
  <si>
    <t>Arriero (sin mula)- Alza y Transporta caña al trapiche</t>
  </si>
  <si>
    <t>Alzador- Arrima caña al camino</t>
  </si>
  <si>
    <t>INFORMACIÓN DE CAPACIDAD DE MOLIENDA</t>
  </si>
  <si>
    <t>Panela estimada a producir (kg/ha)</t>
  </si>
  <si>
    <t>Análisis por hectárea</t>
  </si>
  <si>
    <t>Costo Total</t>
  </si>
  <si>
    <t>Concepto</t>
  </si>
  <si>
    <t>Indicadores (por ha)</t>
  </si>
  <si>
    <t>Mano de obra</t>
  </si>
  <si>
    <t>Cosecha</t>
  </si>
  <si>
    <t>Siembra nueva</t>
  </si>
  <si>
    <t>Mantenimiento</t>
  </si>
  <si>
    <t>Transformación</t>
  </si>
  <si>
    <t>Total</t>
  </si>
  <si>
    <t>Insumos</t>
  </si>
  <si>
    <t>Costo</t>
  </si>
  <si>
    <t>Conversión</t>
  </si>
  <si>
    <t>Análisis por eslabón</t>
  </si>
  <si>
    <t>Ingreso por venta</t>
  </si>
  <si>
    <t>Utilidad</t>
  </si>
  <si>
    <t>Promedio</t>
  </si>
  <si>
    <t>Trapiche</t>
  </si>
  <si>
    <t>Caña (en patio)</t>
  </si>
  <si>
    <t>Rentabilidad de la panela</t>
  </si>
  <si>
    <t>Utilidad ($/kg Panela)</t>
  </si>
  <si>
    <t>Precio de venta ($/kg Panela)</t>
  </si>
  <si>
    <t>Caña (t)</t>
  </si>
  <si>
    <t>Panela (kg)</t>
  </si>
  <si>
    <t>Calculado</t>
  </si>
  <si>
    <t>Cosecha y Transformación</t>
  </si>
  <si>
    <t>Eslabón</t>
  </si>
  <si>
    <t>Empaque [cuál]</t>
  </si>
  <si>
    <t>Embalaje [cuál]</t>
  </si>
  <si>
    <t xml:space="preserve">Cuota de fomento panelero </t>
  </si>
  <si>
    <t>Imprevistos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</si>
</sst>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2" formatCode="_-&quot;$&quot;\ * #,##0_-;\-&quot;$&quot;\ * #,##0_-;_-&quot;$&quot;\ * &quot;-&quot;_-;_-@_-"/>
    <numFmt numFmtId="43" formatCode="_-* #,##0.00_-;\-* #,##0.00_-;_-* &quot;-&quot;??_-;_-@_-"/>
    <numFmt numFmtId="164" formatCode="_-&quot;$&quot;\ * #,##0.0_-;\-&quot;$&quot;\ * #,##0.0_-;_-&quot;$&quot;\ * &quot;-&quot;_-;_-@_-"/>
    <numFmt numFmtId="165" formatCode="0.000"/>
    <numFmt numFmtId="166" formatCode="0.0"/>
    <numFmt numFmtId="167" formatCode="_([$$-240A]\ * #,##0.00_);_([$$-240A]\ * \(#,##0.00\);_([$$-240A]\ * &quot;-&quot;??_);_(@_)"/>
    <numFmt numFmtId="168" formatCode="_-* #,##0\ _P_t_s_-;\-* #,##0\ _P_t_s_-;_-* &quot;-&quot;\ _P_t_s_-;_-@_-"/>
    <numFmt numFmtId="169" formatCode="_ * #,##0_ ;_ * \-#,##0_ ;_ * &quot;-&quot;_ ;_ @_ "/>
    <numFmt numFmtId="170" formatCode="_ * #,##0.00_ ;_ * \-#,##0.00_ ;_ * &quot;-&quot;_ ;_ @_ "/>
    <numFmt numFmtId="171" formatCode="_-* #,##0.0_-;\-* #,##0.0_-;_-* &quot;-&quot;??_-;_-@_-"/>
    <numFmt numFmtId="172" formatCode="_-* #,##0.00\ &quot;Pts&quot;_-;\-* #,##0.00\ &quot;Pts&quot;_-;_-* &quot;-&quot;??\ &quot;Pts&quot;_-;_-@_-"/>
    <numFmt numFmtId="173" formatCode="#,##0.0000"/>
    <numFmt numFmtId="174" formatCode="_ &quot;$&quot;\ * #,##0.0_ ;_ &quot;$&quot;\ * \-#,##0.0_ ;_ &quot;$&quot;\ * &quot;-&quot;_ ;_ @_ "/>
    <numFmt numFmtId="175" formatCode="_ &quot;$&quot;\ * #,##0.000_ ;_ &quot;$&quot;\ * \-#,##0.000_ ;_ &quot;$&quot;\ * &quot;-&quot;_ ;_ @_ "/>
    <numFmt numFmtId="176" formatCode="_(&quot;$&quot;\ * #,##0.0_);_(&quot;$&quot;\ * \(#,##0.0\);_(&quot;$&quot;\ * &quot;-&quot;??_);_(@_)"/>
    <numFmt numFmtId="177" formatCode="_-&quot;$&quot;\ * #,##0.0_-;\-&quot;$&quot;\ * #,##0.0_-;_-&quot;$&quot;\ * &quot;-&quot;?_-;_-@_-"/>
    <numFmt numFmtId="178" formatCode="_ * #,##0.0_ ;_ * \-#,##0.0_ ;_ * &quot;-&quot;_ ;_ @_ "/>
    <numFmt numFmtId="179" formatCode="_-* #,##0.000\ _P_t_s_-;\-* #,##0.000\ _P_t_s_-;_-* &quot;-&quot;\ _P_t_s_-;_-@_-"/>
    <numFmt numFmtId="180" formatCode="_ &quot;$&quot;\ * #,##0_ ;_ &quot;$&quot;\ * \-#,##0_ ;_ &quot;$&quot;\ * &quot;-&quot;_ ;_ @_ "/>
    <numFmt numFmtId="181" formatCode="_-* #,##0.0\ _P_t_s_-;\-* #,##0.0\ _P_t_s_-;_-* &quot;-&quot;\ _P_t_s_-;_-@_-"/>
    <numFmt numFmtId="182" formatCode="_-* #,##0_-;\-* #,##0_-;_-* &quot;-&quot;??_-;_-@_-"/>
    <numFmt numFmtId="183" formatCode="_-* #,##0.0_-;\-* #,##0.0_-;_-* &quot;-&quot;?_-;_-@_-"/>
    <numFmt numFmtId="184" formatCode="_-* #,##0.000_-;\-* #,##0.000_-;_-* &quot;-&quot;?_-;_-@_-"/>
    <numFmt numFmtId="185" formatCode="_-&quot;$&quot;\ * #,##0_-;\-&quot;$&quot;\ * #,##0_-;_-&quot;$&quot;\ * &quot;-&quot;?_-;_-@_-"/>
    <numFmt numFmtId="186" formatCode="_-[$$-240A]\ * #,##0.00_-;\-[$$-240A]\ * #,##0.00_-;_-[$$-240A]\ * &quot;-&quot;??_-;_-@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color theme="5" tint="-0.249977111117893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b/>
      <u/>
      <sz val="10"/>
      <name val="Arial"/>
      <family val="2"/>
    </font>
    <font>
      <sz val="10"/>
      <color indexed="62"/>
      <name val="Arial"/>
      <family val="2"/>
    </font>
    <font>
      <sz val="12"/>
      <color theme="5" tint="-0.24997711111789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5" tint="-0.24997711111789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18"/>
      <name val="Arial"/>
      <family val="2"/>
    </font>
    <font>
      <sz val="10"/>
      <color indexed="8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423">
    <xf numFmtId="0" fontId="0" fillId="0" borderId="0" xfId="0"/>
    <xf numFmtId="167" fontId="0" fillId="0" borderId="0" xfId="0" applyNumberFormat="1"/>
    <xf numFmtId="9" fontId="0" fillId="0" borderId="0" xfId="0" applyNumberFormat="1"/>
    <xf numFmtId="0" fontId="0" fillId="0" borderId="0" xfId="0" applyBorder="1"/>
    <xf numFmtId="0" fontId="3" fillId="0" borderId="0" xfId="0" applyFont="1"/>
    <xf numFmtId="0" fontId="3" fillId="0" borderId="0" xfId="0" applyFont="1" applyBorder="1"/>
    <xf numFmtId="0" fontId="3" fillId="0" borderId="8" xfId="0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/>
    <xf numFmtId="169" fontId="7" fillId="0" borderId="0" xfId="0" applyNumberFormat="1" applyFont="1" applyFill="1" applyBorder="1"/>
    <xf numFmtId="169" fontId="7" fillId="0" borderId="0" xfId="0" applyNumberFormat="1" applyFont="1" applyFill="1" applyBorder="1" applyAlignment="1">
      <alignment horizontal="center"/>
    </xf>
    <xf numFmtId="169" fontId="8" fillId="0" borderId="0" xfId="0" applyNumberFormat="1" applyFont="1" applyFill="1" applyBorder="1"/>
    <xf numFmtId="166" fontId="3" fillId="0" borderId="7" xfId="0" applyNumberFormat="1" applyFont="1" applyBorder="1" applyAlignment="1">
      <alignment horizontal="center"/>
    </xf>
    <xf numFmtId="166" fontId="3" fillId="0" borderId="8" xfId="0" applyNumberFormat="1" applyFont="1" applyBorder="1"/>
    <xf numFmtId="166" fontId="3" fillId="0" borderId="8" xfId="0" applyNumberFormat="1" applyFont="1" applyBorder="1" applyAlignment="1">
      <alignment horizontal="center"/>
    </xf>
    <xf numFmtId="42" fontId="3" fillId="0" borderId="9" xfId="3" applyFont="1" applyBorder="1"/>
    <xf numFmtId="42" fontId="0" fillId="0" borderId="0" xfId="3" applyFont="1"/>
    <xf numFmtId="9" fontId="3" fillId="0" borderId="8" xfId="0" applyNumberFormat="1" applyFont="1" applyFill="1" applyBorder="1" applyAlignment="1">
      <alignment horizontal="center"/>
    </xf>
    <xf numFmtId="164" fontId="3" fillId="0" borderId="9" xfId="3" applyNumberFormat="1" applyFont="1" applyBorder="1"/>
    <xf numFmtId="166" fontId="3" fillId="0" borderId="0" xfId="0" applyNumberFormat="1" applyFont="1" applyBorder="1"/>
    <xf numFmtId="0" fontId="9" fillId="2" borderId="10" xfId="0" applyFont="1" applyFill="1" applyBorder="1"/>
    <xf numFmtId="0" fontId="7" fillId="2" borderId="11" xfId="0" applyFont="1" applyFill="1" applyBorder="1"/>
    <xf numFmtId="171" fontId="7" fillId="2" borderId="11" xfId="0" applyNumberFormat="1" applyFont="1" applyFill="1" applyBorder="1"/>
    <xf numFmtId="169" fontId="7" fillId="2" borderId="11" xfId="0" applyNumberFormat="1" applyFont="1" applyFill="1" applyBorder="1"/>
    <xf numFmtId="170" fontId="7" fillId="2" borderId="11" xfId="0" applyNumberFormat="1" applyFont="1" applyFill="1" applyBorder="1"/>
    <xf numFmtId="3" fontId="3" fillId="0" borderId="0" xfId="0" applyNumberFormat="1" applyFont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/>
    <xf numFmtId="169" fontId="7" fillId="2" borderId="2" xfId="0" applyNumberFormat="1" applyFont="1" applyFill="1" applyBorder="1" applyAlignment="1">
      <alignment horizontal="center"/>
    </xf>
    <xf numFmtId="2" fontId="10" fillId="0" borderId="0" xfId="0" applyNumberFormat="1" applyFont="1" applyFill="1" applyBorder="1"/>
    <xf numFmtId="0" fontId="3" fillId="0" borderId="8" xfId="0" applyFont="1" applyBorder="1" applyAlignment="1">
      <alignment horizontal="center"/>
    </xf>
    <xf numFmtId="2" fontId="0" fillId="0" borderId="0" xfId="0" applyNumberFormat="1" applyFill="1" applyBorder="1"/>
    <xf numFmtId="0" fontId="9" fillId="6" borderId="10" xfId="0" applyFont="1" applyFill="1" applyBorder="1"/>
    <xf numFmtId="173" fontId="3" fillId="0" borderId="0" xfId="0" applyNumberFormat="1" applyFont="1" applyBorder="1"/>
    <xf numFmtId="165" fontId="3" fillId="0" borderId="0" xfId="0" applyNumberFormat="1" applyFont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67" fontId="3" fillId="0" borderId="0" xfId="2" applyNumberFormat="1" applyFont="1" applyBorder="1"/>
    <xf numFmtId="176" fontId="0" fillId="0" borderId="0" xfId="0" applyNumberFormat="1" applyBorder="1"/>
    <xf numFmtId="0" fontId="0" fillId="0" borderId="0" xfId="0" applyAlignment="1"/>
    <xf numFmtId="164" fontId="3" fillId="0" borderId="8" xfId="3" applyNumberFormat="1" applyFont="1" applyBorder="1"/>
    <xf numFmtId="0" fontId="9" fillId="2" borderId="11" xfId="0" applyFont="1" applyFill="1" applyBorder="1"/>
    <xf numFmtId="0" fontId="9" fillId="2" borderId="11" xfId="0" applyFont="1" applyFill="1" applyBorder="1" applyAlignment="1">
      <alignment horizontal="center"/>
    </xf>
    <xf numFmtId="42" fontId="9" fillId="2" borderId="11" xfId="3" applyFont="1" applyFill="1" applyBorder="1"/>
    <xf numFmtId="42" fontId="3" fillId="0" borderId="0" xfId="3" applyFont="1" applyBorder="1"/>
    <xf numFmtId="165" fontId="0" fillId="13" borderId="8" xfId="0" applyNumberFormat="1" applyFill="1" applyBorder="1" applyAlignment="1">
      <alignment horizontal="center"/>
    </xf>
    <xf numFmtId="2" fontId="0" fillId="13" borderId="8" xfId="0" applyNumberFormat="1" applyFill="1" applyBorder="1" applyAlignment="1">
      <alignment horizontal="center"/>
    </xf>
    <xf numFmtId="42" fontId="0" fillId="13" borderId="8" xfId="3" applyFont="1" applyFill="1" applyBorder="1" applyAlignment="1">
      <alignment horizontal="center"/>
    </xf>
    <xf numFmtId="2" fontId="0" fillId="16" borderId="8" xfId="0" applyNumberFormat="1" applyFill="1" applyBorder="1" applyAlignment="1">
      <alignment horizontal="center"/>
    </xf>
    <xf numFmtId="42" fontId="7" fillId="16" borderId="8" xfId="3" applyFont="1" applyFill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42" fontId="5" fillId="12" borderId="8" xfId="3" applyFont="1" applyFill="1" applyBorder="1" applyAlignment="1">
      <alignment horizontal="center"/>
    </xf>
    <xf numFmtId="42" fontId="7" fillId="8" borderId="8" xfId="3" applyFont="1" applyFill="1" applyBorder="1"/>
    <xf numFmtId="179" fontId="0" fillId="0" borderId="0" xfId="0" applyNumberFormat="1"/>
    <xf numFmtId="0" fontId="0" fillId="15" borderId="8" xfId="0" applyFill="1" applyBorder="1" applyAlignment="1">
      <alignment horizontal="center"/>
    </xf>
    <xf numFmtId="42" fontId="0" fillId="0" borderId="0" xfId="0" applyNumberFormat="1"/>
    <xf numFmtId="42" fontId="4" fillId="17" borderId="8" xfId="3" applyFont="1" applyFill="1" applyBorder="1" applyAlignment="1">
      <alignment horizontal="center"/>
    </xf>
    <xf numFmtId="178" fontId="3" fillId="0" borderId="9" xfId="0" applyNumberFormat="1" applyFont="1" applyBorder="1" applyAlignment="1">
      <alignment horizontal="center"/>
    </xf>
    <xf numFmtId="9" fontId="3" fillId="4" borderId="8" xfId="0" applyNumberFormat="1" applyFont="1" applyFill="1" applyBorder="1"/>
    <xf numFmtId="0" fontId="7" fillId="2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42" fontId="0" fillId="0" borderId="0" xfId="3" applyFont="1" applyBorder="1"/>
    <xf numFmtId="170" fontId="3" fillId="0" borderId="0" xfId="0" applyNumberFormat="1" applyFont="1" applyBorder="1"/>
    <xf numFmtId="1" fontId="3" fillId="0" borderId="0" xfId="0" applyNumberFormat="1" applyFont="1" applyBorder="1"/>
    <xf numFmtId="0" fontId="7" fillId="2" borderId="5" xfId="0" applyFont="1" applyFill="1" applyBorder="1"/>
    <xf numFmtId="0" fontId="7" fillId="2" borderId="5" xfId="0" applyFont="1" applyFill="1" applyBorder="1" applyAlignment="1">
      <alignment horizontal="center"/>
    </xf>
    <xf numFmtId="171" fontId="7" fillId="2" borderId="5" xfId="0" applyNumberFormat="1" applyFont="1" applyFill="1" applyBorder="1" applyAlignment="1">
      <alignment horizontal="center"/>
    </xf>
    <xf numFmtId="169" fontId="7" fillId="2" borderId="6" xfId="0" applyNumberFormat="1" applyFont="1" applyFill="1" applyBorder="1" applyAlignment="1">
      <alignment horizontal="center"/>
    </xf>
    <xf numFmtId="164" fontId="3" fillId="0" borderId="0" xfId="3" applyNumberFormat="1" applyFont="1" applyBorder="1"/>
    <xf numFmtId="0" fontId="6" fillId="0" borderId="0" xfId="0" applyFont="1" applyBorder="1" applyAlignment="1"/>
    <xf numFmtId="0" fontId="7" fillId="0" borderId="0" xfId="0" applyFont="1" applyBorder="1"/>
    <xf numFmtId="164" fontId="7" fillId="0" borderId="0" xfId="3" applyNumberFormat="1" applyFont="1" applyBorder="1"/>
    <xf numFmtId="164" fontId="3" fillId="0" borderId="0" xfId="3" applyNumberFormat="1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164" fontId="3" fillId="0" borderId="0" xfId="3" applyNumberFormat="1" applyFont="1" applyFill="1" applyBorder="1"/>
    <xf numFmtId="2" fontId="3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164" fontId="3" fillId="0" borderId="8" xfId="3" applyNumberFormat="1" applyFont="1" applyBorder="1" applyAlignment="1">
      <alignment horizontal="right"/>
    </xf>
    <xf numFmtId="0" fontId="3" fillId="0" borderId="7" xfId="0" applyFont="1" applyBorder="1"/>
    <xf numFmtId="164" fontId="3" fillId="0" borderId="9" xfId="3" applyNumberFormat="1" applyFont="1" applyFill="1" applyBorder="1"/>
    <xf numFmtId="0" fontId="9" fillId="19" borderId="10" xfId="0" applyFont="1" applyFill="1" applyBorder="1" applyAlignment="1">
      <alignment vertical="center"/>
    </xf>
    <xf numFmtId="0" fontId="3" fillId="0" borderId="7" xfId="0" applyFont="1" applyBorder="1" applyAlignment="1">
      <alignment horizontal="center"/>
    </xf>
    <xf numFmtId="164" fontId="9" fillId="2" borderId="11" xfId="3" applyNumberFormat="1" applyFont="1" applyFill="1" applyBorder="1"/>
    <xf numFmtId="0" fontId="3" fillId="5" borderId="8" xfId="0" applyFont="1" applyFill="1" applyBorder="1"/>
    <xf numFmtId="0" fontId="0" fillId="5" borderId="8" xfId="0" applyFill="1" applyBorder="1"/>
    <xf numFmtId="166" fontId="3" fillId="5" borderId="8" xfId="0" applyNumberFormat="1" applyFont="1" applyFill="1" applyBorder="1"/>
    <xf numFmtId="171" fontId="3" fillId="5" borderId="8" xfId="0" applyNumberFormat="1" applyFont="1" applyFill="1" applyBorder="1"/>
    <xf numFmtId="169" fontId="3" fillId="5" borderId="8" xfId="0" applyNumberFormat="1" applyFont="1" applyFill="1" applyBorder="1"/>
    <xf numFmtId="0" fontId="2" fillId="5" borderId="8" xfId="0" applyFont="1" applyFill="1" applyBorder="1"/>
    <xf numFmtId="166" fontId="2" fillId="5" borderId="8" xfId="0" applyNumberFormat="1" applyFont="1" applyFill="1" applyBorder="1"/>
    <xf numFmtId="0" fontId="3" fillId="5" borderId="7" xfId="0" applyFont="1" applyFill="1" applyBorder="1"/>
    <xf numFmtId="174" fontId="3" fillId="5" borderId="9" xfId="0" applyNumberFormat="1" applyFont="1" applyFill="1" applyBorder="1"/>
    <xf numFmtId="0" fontId="0" fillId="5" borderId="10" xfId="0" applyFill="1" applyBorder="1"/>
    <xf numFmtId="0" fontId="3" fillId="5" borderId="11" xfId="0" applyFont="1" applyFill="1" applyBorder="1"/>
    <xf numFmtId="0" fontId="0" fillId="5" borderId="7" xfId="0" applyFill="1" applyBorder="1"/>
    <xf numFmtId="2" fontId="0" fillId="5" borderId="9" xfId="0" applyNumberFormat="1" applyFill="1" applyBorder="1"/>
    <xf numFmtId="1" fontId="0" fillId="5" borderId="9" xfId="0" applyNumberFormat="1" applyFill="1" applyBorder="1"/>
    <xf numFmtId="0" fontId="16" fillId="5" borderId="11" xfId="0" applyFont="1" applyFill="1" applyBorder="1"/>
    <xf numFmtId="0" fontId="3" fillId="5" borderId="10" xfId="0" applyFont="1" applyFill="1" applyBorder="1"/>
    <xf numFmtId="0" fontId="7" fillId="19" borderId="11" xfId="0" applyFont="1" applyFill="1" applyBorder="1" applyAlignment="1">
      <alignment vertical="center"/>
    </xf>
    <xf numFmtId="0" fontId="1" fillId="0" borderId="0" xfId="5"/>
    <xf numFmtId="9" fontId="0" fillId="0" borderId="12" xfId="6" applyFont="1" applyBorder="1"/>
    <xf numFmtId="9" fontId="0" fillId="4" borderId="9" xfId="6" applyFont="1" applyFill="1" applyBorder="1"/>
    <xf numFmtId="0" fontId="3" fillId="5" borderId="11" xfId="5" applyFont="1" applyFill="1" applyBorder="1"/>
    <xf numFmtId="0" fontId="16" fillId="5" borderId="11" xfId="5" applyFont="1" applyFill="1" applyBorder="1"/>
    <xf numFmtId="0" fontId="1" fillId="5" borderId="10" xfId="5" applyFill="1" applyBorder="1"/>
    <xf numFmtId="174" fontId="3" fillId="5" borderId="9" xfId="5" applyNumberFormat="1" applyFont="1" applyFill="1" applyBorder="1"/>
    <xf numFmtId="169" fontId="3" fillId="5" borderId="8" xfId="5" applyNumberFormat="1" applyFont="1" applyFill="1" applyBorder="1"/>
    <xf numFmtId="171" fontId="3" fillId="5" borderId="8" xfId="5" applyNumberFormat="1" applyFont="1" applyFill="1" applyBorder="1"/>
    <xf numFmtId="0" fontId="3" fillId="5" borderId="8" xfId="5" applyFont="1" applyFill="1" applyBorder="1"/>
    <xf numFmtId="166" fontId="3" fillId="5" borderId="8" xfId="5" applyNumberFormat="1" applyFont="1" applyFill="1" applyBorder="1"/>
    <xf numFmtId="0" fontId="1" fillId="5" borderId="7" xfId="5" applyFill="1" applyBorder="1"/>
    <xf numFmtId="0" fontId="3" fillId="5" borderId="7" xfId="5" applyFont="1" applyFill="1" applyBorder="1"/>
    <xf numFmtId="1" fontId="1" fillId="5" borderId="9" xfId="5" applyNumberFormat="1" applyFill="1" applyBorder="1"/>
    <xf numFmtId="0" fontId="1" fillId="5" borderId="8" xfId="5" applyFill="1" applyBorder="1"/>
    <xf numFmtId="166" fontId="2" fillId="5" borderId="8" xfId="5" applyNumberFormat="1" applyFont="1" applyFill="1" applyBorder="1"/>
    <xf numFmtId="0" fontId="2" fillId="5" borderId="8" xfId="5" applyFont="1" applyFill="1" applyBorder="1"/>
    <xf numFmtId="164" fontId="7" fillId="2" borderId="12" xfId="7" applyNumberFormat="1" applyFont="1" applyFill="1" applyBorder="1"/>
    <xf numFmtId="164" fontId="9" fillId="2" borderId="11" xfId="7" applyNumberFormat="1" applyFont="1" applyFill="1" applyBorder="1"/>
    <xf numFmtId="0" fontId="9" fillId="2" borderId="11" xfId="5" applyFont="1" applyFill="1" applyBorder="1" applyAlignment="1">
      <alignment horizontal="center"/>
    </xf>
    <xf numFmtId="0" fontId="9" fillId="2" borderId="11" xfId="5" applyFont="1" applyFill="1" applyBorder="1"/>
    <xf numFmtId="0" fontId="7" fillId="19" borderId="11" xfId="5" applyFont="1" applyFill="1" applyBorder="1" applyAlignment="1">
      <alignment vertical="center"/>
    </xf>
    <xf numFmtId="0" fontId="9" fillId="19" borderId="10" xfId="5" applyFont="1" applyFill="1" applyBorder="1" applyAlignment="1">
      <alignment vertical="center"/>
    </xf>
    <xf numFmtId="0" fontId="3" fillId="0" borderId="8" xfId="5" applyFont="1" applyBorder="1" applyAlignment="1">
      <alignment horizontal="center"/>
    </xf>
    <xf numFmtId="0" fontId="3" fillId="0" borderId="8" xfId="5" applyFont="1" applyBorder="1" applyAlignment="1">
      <alignment vertical="center"/>
    </xf>
    <xf numFmtId="0" fontId="1" fillId="0" borderId="8" xfId="5" applyBorder="1"/>
    <xf numFmtId="0" fontId="3" fillId="0" borderId="7" xfId="5" applyFont="1" applyBorder="1" applyAlignment="1">
      <alignment horizontal="center"/>
    </xf>
    <xf numFmtId="169" fontId="7" fillId="2" borderId="6" xfId="5" applyNumberFormat="1" applyFont="1" applyFill="1" applyBorder="1" applyAlignment="1">
      <alignment horizontal="center"/>
    </xf>
    <xf numFmtId="169" fontId="7" fillId="2" borderId="2" xfId="5" applyNumberFormat="1" applyFont="1" applyFill="1" applyBorder="1" applyAlignment="1">
      <alignment horizontal="center"/>
    </xf>
    <xf numFmtId="171" fontId="7" fillId="2" borderId="5" xfId="5" applyNumberFormat="1" applyFont="1" applyFill="1" applyBorder="1" applyAlignment="1">
      <alignment horizontal="center"/>
    </xf>
    <xf numFmtId="0" fontId="7" fillId="2" borderId="5" xfId="5" applyFont="1" applyFill="1" applyBorder="1" applyAlignment="1">
      <alignment horizontal="center"/>
    </xf>
    <xf numFmtId="0" fontId="7" fillId="2" borderId="5" xfId="5" applyFont="1" applyFill="1" applyBorder="1"/>
    <xf numFmtId="0" fontId="7" fillId="2" borderId="4" xfId="5" applyFont="1" applyFill="1" applyBorder="1" applyAlignment="1">
      <alignment horizontal="center"/>
    </xf>
    <xf numFmtId="164" fontId="0" fillId="16" borderId="8" xfId="3" applyNumberFormat="1" applyFont="1" applyFill="1" applyBorder="1" applyAlignment="1">
      <alignment horizontal="center"/>
    </xf>
    <xf numFmtId="164" fontId="0" fillId="13" borderId="8" xfId="3" applyNumberFormat="1" applyFont="1" applyFill="1" applyBorder="1" applyAlignment="1">
      <alignment horizontal="center"/>
    </xf>
    <xf numFmtId="164" fontId="7" fillId="12" borderId="8" xfId="3" applyNumberFormat="1" applyFont="1" applyFill="1" applyBorder="1" applyAlignment="1">
      <alignment horizontal="center"/>
    </xf>
    <xf numFmtId="164" fontId="7" fillId="17" borderId="8" xfId="3" applyNumberFormat="1" applyFont="1" applyFill="1" applyBorder="1" applyAlignment="1">
      <alignment horizontal="center"/>
    </xf>
    <xf numFmtId="1" fontId="3" fillId="15" borderId="8" xfId="0" applyNumberFormat="1" applyFont="1" applyFill="1" applyBorder="1" applyAlignment="1">
      <alignment horizontal="center"/>
    </xf>
    <xf numFmtId="42" fontId="7" fillId="2" borderId="12" xfId="3" applyFont="1" applyFill="1" applyBorder="1"/>
    <xf numFmtId="164" fontId="7" fillId="2" borderId="12" xfId="3" applyNumberFormat="1" applyFont="1" applyFill="1" applyBorder="1"/>
    <xf numFmtId="0" fontId="7" fillId="19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/>
    </xf>
    <xf numFmtId="164" fontId="7" fillId="2" borderId="11" xfId="3" applyNumberFormat="1" applyFont="1" applyFill="1" applyBorder="1"/>
    <xf numFmtId="180" fontId="5" fillId="5" borderId="6" xfId="5" applyNumberFormat="1" applyFont="1" applyFill="1" applyBorder="1"/>
    <xf numFmtId="180" fontId="15" fillId="5" borderId="12" xfId="0" applyNumberFormat="1" applyFont="1" applyFill="1" applyBorder="1"/>
    <xf numFmtId="42" fontId="15" fillId="5" borderId="12" xfId="3" applyFont="1" applyFill="1" applyBorder="1"/>
    <xf numFmtId="0" fontId="7" fillId="6" borderId="4" xfId="0" applyFont="1" applyFill="1" applyBorder="1" applyAlignment="1">
      <alignment horizontal="center"/>
    </xf>
    <xf numFmtId="0" fontId="19" fillId="0" borderId="0" xfId="0" applyFont="1" applyBorder="1"/>
    <xf numFmtId="0" fontId="19" fillId="0" borderId="31" xfId="0" applyFont="1" applyBorder="1"/>
    <xf numFmtId="0" fontId="3" fillId="0" borderId="0" xfId="0" applyFont="1" applyBorder="1" applyAlignment="1">
      <alignment horizontal="center"/>
    </xf>
    <xf numFmtId="0" fontId="20" fillId="0" borderId="0" xfId="0" applyFont="1" applyBorder="1"/>
    <xf numFmtId="0" fontId="19" fillId="0" borderId="32" xfId="0" applyFont="1" applyBorder="1"/>
    <xf numFmtId="0" fontId="9" fillId="20" borderId="7" xfId="0" applyFont="1" applyFill="1" applyBorder="1" applyAlignment="1">
      <alignment vertical="center"/>
    </xf>
    <xf numFmtId="0" fontId="7" fillId="20" borderId="8" xfId="0" applyFont="1" applyFill="1" applyBorder="1" applyAlignment="1">
      <alignment vertical="center"/>
    </xf>
    <xf numFmtId="0" fontId="9" fillId="20" borderId="8" xfId="0" applyFont="1" applyFill="1" applyBorder="1"/>
    <xf numFmtId="0" fontId="9" fillId="20" borderId="8" xfId="0" applyFont="1" applyFill="1" applyBorder="1" applyAlignment="1">
      <alignment horizontal="center"/>
    </xf>
    <xf numFmtId="164" fontId="9" fillId="20" borderId="8" xfId="3" applyNumberFormat="1" applyFont="1" applyFill="1" applyBorder="1"/>
    <xf numFmtId="164" fontId="7" fillId="20" borderId="9" xfId="3" applyNumberFormat="1" applyFont="1" applyFill="1" applyBorder="1"/>
    <xf numFmtId="0" fontId="7" fillId="0" borderId="0" xfId="0" applyFont="1" applyBorder="1" applyAlignment="1">
      <alignment horizontal="left"/>
    </xf>
    <xf numFmtId="0" fontId="3" fillId="15" borderId="4" xfId="0" applyFont="1" applyFill="1" applyBorder="1" applyAlignment="1">
      <alignment horizontal="left" indent="1"/>
    </xf>
    <xf numFmtId="0" fontId="3" fillId="15" borderId="7" xfId="0" applyFont="1" applyFill="1" applyBorder="1" applyAlignment="1">
      <alignment horizontal="left" indent="1"/>
    </xf>
    <xf numFmtId="0" fontId="3" fillId="15" borderId="10" xfId="0" applyFont="1" applyFill="1" applyBorder="1" applyAlignment="1">
      <alignment horizontal="left" indent="1"/>
    </xf>
    <xf numFmtId="0" fontId="3" fillId="15" borderId="38" xfId="0" applyFont="1" applyFill="1" applyBorder="1" applyAlignment="1">
      <alignment horizontal="left" indent="1"/>
    </xf>
    <xf numFmtId="0" fontId="7" fillId="15" borderId="10" xfId="0" applyFont="1" applyFill="1" applyBorder="1" applyAlignment="1">
      <alignment horizontal="left" indent="1"/>
    </xf>
    <xf numFmtId="0" fontId="7" fillId="0" borderId="0" xfId="0" applyFont="1" applyFill="1" applyBorder="1" applyAlignment="1"/>
    <xf numFmtId="1" fontId="0" fillId="15" borderId="22" xfId="0" applyNumberFormat="1" applyFill="1" applyBorder="1" applyAlignment="1">
      <alignment horizontal="center"/>
    </xf>
    <xf numFmtId="1" fontId="0" fillId="15" borderId="35" xfId="0" applyNumberFormat="1" applyFill="1" applyBorder="1" applyAlignment="1">
      <alignment horizontal="center"/>
    </xf>
    <xf numFmtId="0" fontId="3" fillId="15" borderId="7" xfId="0" applyFont="1" applyFill="1" applyBorder="1"/>
    <xf numFmtId="0" fontId="3" fillId="15" borderId="40" xfId="0" applyFont="1" applyFill="1" applyBorder="1"/>
    <xf numFmtId="1" fontId="0" fillId="15" borderId="39" xfId="0" applyNumberFormat="1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178" fontId="3" fillId="0" borderId="14" xfId="0" applyNumberFormat="1" applyFont="1" applyBorder="1" applyAlignment="1">
      <alignment horizontal="center"/>
    </xf>
    <xf numFmtId="0" fontId="3" fillId="15" borderId="10" xfId="0" applyFont="1" applyFill="1" applyBorder="1"/>
    <xf numFmtId="0" fontId="3" fillId="15" borderId="4" xfId="0" applyFont="1" applyFill="1" applyBorder="1" applyAlignment="1">
      <alignment horizontal="left" vertical="center" wrapText="1" indent="1"/>
    </xf>
    <xf numFmtId="0" fontId="3" fillId="15" borderId="7" xfId="0" applyFont="1" applyFill="1" applyBorder="1" applyAlignment="1">
      <alignment horizontal="left" vertical="center" wrapText="1" indent="1"/>
    </xf>
    <xf numFmtId="0" fontId="7" fillId="15" borderId="10" xfId="0" applyFont="1" applyFill="1" applyBorder="1" applyAlignment="1">
      <alignment horizontal="left" vertical="center" wrapText="1" indent="1"/>
    </xf>
    <xf numFmtId="0" fontId="0" fillId="5" borderId="0" xfId="0" applyFill="1" applyBorder="1"/>
    <xf numFmtId="0" fontId="16" fillId="5" borderId="0" xfId="0" applyFont="1" applyFill="1" applyBorder="1"/>
    <xf numFmtId="0" fontId="3" fillId="5" borderId="0" xfId="0" applyFont="1" applyFill="1" applyBorder="1"/>
    <xf numFmtId="180" fontId="15" fillId="5" borderId="0" xfId="0" applyNumberFormat="1" applyFont="1" applyFill="1" applyBorder="1"/>
    <xf numFmtId="174" fontId="7" fillId="5" borderId="9" xfId="0" applyNumberFormat="1" applyFont="1" applyFill="1" applyBorder="1"/>
    <xf numFmtId="174" fontId="7" fillId="5" borderId="9" xfId="5" applyNumberFormat="1" applyFont="1" applyFill="1" applyBorder="1"/>
    <xf numFmtId="0" fontId="1" fillId="5" borderId="0" xfId="5" applyFill="1" applyBorder="1"/>
    <xf numFmtId="0" fontId="16" fillId="5" borderId="0" xfId="5" applyFont="1" applyFill="1" applyBorder="1"/>
    <xf numFmtId="0" fontId="3" fillId="5" borderId="0" xfId="5" applyFont="1" applyFill="1" applyBorder="1"/>
    <xf numFmtId="42" fontId="15" fillId="5" borderId="0" xfId="3" applyFont="1" applyFill="1" applyBorder="1"/>
    <xf numFmtId="177" fontId="3" fillId="0" borderId="0" xfId="0" applyNumberFormat="1" applyFont="1"/>
    <xf numFmtId="168" fontId="0" fillId="0" borderId="0" xfId="1" applyFont="1"/>
    <xf numFmtId="168" fontId="0" fillId="0" borderId="0" xfId="0" applyNumberFormat="1"/>
    <xf numFmtId="9" fontId="3" fillId="0" borderId="8" xfId="4" applyFont="1" applyFill="1" applyBorder="1" applyAlignment="1">
      <alignment horizontal="center"/>
    </xf>
    <xf numFmtId="0" fontId="7" fillId="15" borderId="38" xfId="0" applyFont="1" applyFill="1" applyBorder="1" applyAlignment="1">
      <alignment horizontal="left" vertical="center" wrapText="1" indent="1"/>
    </xf>
    <xf numFmtId="0" fontId="0" fillId="5" borderId="38" xfId="0" applyFill="1" applyBorder="1"/>
    <xf numFmtId="166" fontId="3" fillId="5" borderId="15" xfId="0" applyNumberFormat="1" applyFont="1" applyFill="1" applyBorder="1"/>
    <xf numFmtId="0" fontId="3" fillId="5" borderId="15" xfId="0" applyFont="1" applyFill="1" applyBorder="1"/>
    <xf numFmtId="171" fontId="3" fillId="5" borderId="15" xfId="0" applyNumberFormat="1" applyFont="1" applyFill="1" applyBorder="1"/>
    <xf numFmtId="169" fontId="3" fillId="5" borderId="15" xfId="0" applyNumberFormat="1" applyFont="1" applyFill="1" applyBorder="1"/>
    <xf numFmtId="1" fontId="3" fillId="0" borderId="8" xfId="0" applyNumberFormat="1" applyFont="1" applyFill="1" applyBorder="1"/>
    <xf numFmtId="9" fontId="3" fillId="0" borderId="8" xfId="4" applyFont="1" applyBorder="1" applyAlignment="1">
      <alignment horizontal="center"/>
    </xf>
    <xf numFmtId="0" fontId="3" fillId="15" borderId="40" xfId="0" applyFont="1" applyFill="1" applyBorder="1" applyAlignment="1">
      <alignment vertical="center"/>
    </xf>
    <xf numFmtId="1" fontId="0" fillId="15" borderId="39" xfId="0" applyNumberFormat="1" applyFill="1" applyBorder="1" applyAlignment="1">
      <alignment horizontal="center" vertical="center"/>
    </xf>
    <xf numFmtId="170" fontId="3" fillId="15" borderId="14" xfId="0" applyNumberFormat="1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vertical="center"/>
    </xf>
    <xf numFmtId="1" fontId="0" fillId="15" borderId="22" xfId="0" applyNumberFormat="1" applyFill="1" applyBorder="1" applyAlignment="1">
      <alignment horizontal="center" vertical="center"/>
    </xf>
    <xf numFmtId="170" fontId="3" fillId="15" borderId="9" xfId="0" applyNumberFormat="1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vertical="center" wrapText="1"/>
    </xf>
    <xf numFmtId="1" fontId="0" fillId="15" borderId="35" xfId="0" applyNumberFormat="1" applyFill="1" applyBorder="1" applyAlignment="1">
      <alignment horizontal="center" vertical="center"/>
    </xf>
    <xf numFmtId="169" fontId="3" fillId="15" borderId="12" xfId="0" applyNumberFormat="1" applyFont="1" applyFill="1" applyBorder="1" applyAlignment="1">
      <alignment horizontal="center" vertical="center"/>
    </xf>
    <xf numFmtId="181" fontId="3" fillId="0" borderId="8" xfId="1" applyNumberFormat="1" applyFont="1" applyBorder="1" applyAlignment="1">
      <alignment horizontal="center"/>
    </xf>
    <xf numFmtId="9" fontId="3" fillId="4" borderId="45" xfId="0" applyNumberFormat="1" applyFont="1" applyFill="1" applyBorder="1" applyAlignment="1">
      <alignment horizontal="center" vertical="center"/>
    </xf>
    <xf numFmtId="164" fontId="3" fillId="0" borderId="8" xfId="3" applyNumberFormat="1" applyFont="1" applyFill="1" applyBorder="1" applyAlignment="1">
      <alignment horizontal="right"/>
    </xf>
    <xf numFmtId="169" fontId="22" fillId="21" borderId="12" xfId="0" applyNumberFormat="1" applyFont="1" applyFill="1" applyBorder="1" applyAlignment="1"/>
    <xf numFmtId="182" fontId="0" fillId="0" borderId="8" xfId="8" applyNumberFormat="1" applyFont="1" applyBorder="1"/>
    <xf numFmtId="0" fontId="14" fillId="0" borderId="0" xfId="0" applyFont="1" applyBorder="1" applyAlignment="1">
      <alignment horizontal="center"/>
    </xf>
    <xf numFmtId="174" fontId="3" fillId="5" borderId="0" xfId="0" applyNumberFormat="1" applyFont="1" applyFill="1" applyBorder="1"/>
    <xf numFmtId="169" fontId="7" fillId="2" borderId="14" xfId="0" applyNumberFormat="1" applyFont="1" applyFill="1" applyBorder="1" applyAlignment="1">
      <alignment horizontal="center"/>
    </xf>
    <xf numFmtId="42" fontId="3" fillId="0" borderId="9" xfId="3" applyNumberFormat="1" applyFont="1" applyFill="1" applyBorder="1"/>
    <xf numFmtId="42" fontId="7" fillId="20" borderId="9" xfId="3" applyNumberFormat="1" applyFont="1" applyFill="1" applyBorder="1"/>
    <xf numFmtId="42" fontId="3" fillId="0" borderId="8" xfId="3" applyNumberFormat="1" applyFont="1" applyBorder="1" applyAlignment="1">
      <alignment horizontal="center" vertical="center"/>
    </xf>
    <xf numFmtId="42" fontId="3" fillId="0" borderId="8" xfId="3" applyNumberFormat="1" applyFont="1" applyBorder="1" applyAlignment="1">
      <alignment horizontal="right"/>
    </xf>
    <xf numFmtId="42" fontId="3" fillId="0" borderId="8" xfId="3" applyNumberFormat="1" applyFont="1" applyBorder="1" applyAlignment="1">
      <alignment horizontal="right" vertical="center"/>
    </xf>
    <xf numFmtId="164" fontId="3" fillId="0" borderId="8" xfId="3" applyNumberFormat="1" applyFont="1" applyBorder="1" applyAlignment="1">
      <alignment horizontal="right" vertical="center"/>
    </xf>
    <xf numFmtId="42" fontId="0" fillId="0" borderId="8" xfId="0" applyNumberFormat="1" applyBorder="1" applyAlignment="1">
      <alignment horizontal="center" vertical="center"/>
    </xf>
    <xf numFmtId="43" fontId="0" fillId="0" borderId="8" xfId="8" applyFont="1" applyBorder="1" applyAlignment="1">
      <alignment horizontal="center" vertical="center"/>
    </xf>
    <xf numFmtId="183" fontId="3" fillId="0" borderId="0" xfId="0" applyNumberFormat="1" applyFont="1"/>
    <xf numFmtId="184" fontId="3" fillId="0" borderId="0" xfId="0" applyNumberFormat="1" applyFont="1"/>
    <xf numFmtId="9" fontId="3" fillId="4" borderId="8" xfId="4" applyFont="1" applyFill="1" applyBorder="1" applyAlignment="1">
      <alignment horizontal="center" vertical="center"/>
    </xf>
    <xf numFmtId="168" fontId="3" fillId="0" borderId="0" xfId="0" applyNumberFormat="1" applyFont="1"/>
    <xf numFmtId="49" fontId="3" fillId="0" borderId="0" xfId="0" applyNumberFormat="1" applyFont="1"/>
    <xf numFmtId="182" fontId="0" fillId="0" borderId="0" xfId="0" applyNumberFormat="1"/>
    <xf numFmtId="186" fontId="0" fillId="0" borderId="0" xfId="0" applyNumberFormat="1"/>
    <xf numFmtId="174" fontId="1" fillId="0" borderId="0" xfId="5" applyNumberFormat="1"/>
    <xf numFmtId="1" fontId="0" fillId="15" borderId="8" xfId="0" applyNumberFormat="1" applyFill="1" applyBorder="1" applyAlignment="1">
      <alignment horizontal="center"/>
    </xf>
    <xf numFmtId="0" fontId="7" fillId="17" borderId="8" xfId="0" applyFont="1" applyFill="1" applyBorder="1" applyAlignment="1">
      <alignment horizontal="right" vertical="center"/>
    </xf>
    <xf numFmtId="42" fontId="7" fillId="17" borderId="8" xfId="0" applyNumberFormat="1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3" fillId="11" borderId="8" xfId="0" applyFont="1" applyFill="1" applyBorder="1"/>
    <xf numFmtId="0" fontId="0" fillId="11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1" fontId="0" fillId="15" borderId="8" xfId="0" applyNumberForma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2" fontId="0" fillId="16" borderId="13" xfId="0" applyNumberFormat="1" applyFill="1" applyBorder="1"/>
    <xf numFmtId="42" fontId="0" fillId="16" borderId="8" xfId="0" applyNumberFormat="1" applyFill="1" applyBorder="1"/>
    <xf numFmtId="1" fontId="0" fillId="16" borderId="8" xfId="0" applyNumberForma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42" fontId="7" fillId="12" borderId="8" xfId="0" applyNumberFormat="1" applyFont="1" applyFill="1" applyBorder="1" applyAlignment="1">
      <alignment horizontal="center" vertical="center"/>
    </xf>
    <xf numFmtId="0" fontId="7" fillId="23" borderId="8" xfId="0" applyFont="1" applyFill="1" applyBorder="1" applyAlignment="1">
      <alignment horizontal="right"/>
    </xf>
    <xf numFmtId="0" fontId="7" fillId="23" borderId="8" xfId="0" applyFont="1" applyFill="1" applyBorder="1"/>
    <xf numFmtId="42" fontId="7" fillId="23" borderId="8" xfId="0" applyNumberFormat="1" applyFont="1" applyFill="1" applyBorder="1"/>
    <xf numFmtId="42" fontId="7" fillId="23" borderId="8" xfId="0" applyNumberFormat="1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42" fontId="0" fillId="8" borderId="8" xfId="0" applyNumberFormat="1" applyFill="1" applyBorder="1"/>
    <xf numFmtId="0" fontId="7" fillId="7" borderId="8" xfId="0" applyFont="1" applyFill="1" applyBorder="1" applyAlignment="1">
      <alignment horizontal="center" vertical="center"/>
    </xf>
    <xf numFmtId="0" fontId="0" fillId="7" borderId="8" xfId="0" applyFill="1" applyBorder="1"/>
    <xf numFmtId="0" fontId="0" fillId="7" borderId="8" xfId="0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42" fontId="0" fillId="13" borderId="8" xfId="0" applyNumberForma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0" fillId="10" borderId="8" xfId="0" applyFill="1" applyBorder="1"/>
    <xf numFmtId="0" fontId="0" fillId="10" borderId="8" xfId="0" applyFill="1" applyBorder="1" applyAlignment="1">
      <alignment horizontal="center" vertical="center"/>
    </xf>
    <xf numFmtId="0" fontId="3" fillId="26" borderId="8" xfId="0" applyFont="1" applyFill="1" applyBorder="1" applyAlignment="1">
      <alignment horizontal="center" vertical="center"/>
    </xf>
    <xf numFmtId="42" fontId="0" fillId="26" borderId="8" xfId="0" applyNumberFormat="1" applyFill="1" applyBorder="1"/>
    <xf numFmtId="42" fontId="7" fillId="22" borderId="0" xfId="0" applyNumberFormat="1" applyFont="1" applyFill="1"/>
    <xf numFmtId="0" fontId="7" fillId="27" borderId="8" xfId="0" applyFont="1" applyFill="1" applyBorder="1" applyAlignment="1">
      <alignment horizontal="center" vertical="center"/>
    </xf>
    <xf numFmtId="0" fontId="0" fillId="27" borderId="8" xfId="0" applyFill="1" applyBorder="1"/>
    <xf numFmtId="0" fontId="0" fillId="27" borderId="8" xfId="0" applyFill="1" applyBorder="1" applyAlignment="1">
      <alignment horizontal="center" vertical="center"/>
    </xf>
    <xf numFmtId="0" fontId="3" fillId="27" borderId="8" xfId="0" applyFont="1" applyFill="1" applyBorder="1"/>
    <xf numFmtId="0" fontId="7" fillId="24" borderId="8" xfId="0" applyFont="1" applyFill="1" applyBorder="1" applyAlignment="1">
      <alignment horizontal="center" vertical="center"/>
    </xf>
    <xf numFmtId="0" fontId="3" fillId="18" borderId="8" xfId="0" applyFont="1" applyFill="1" applyBorder="1"/>
    <xf numFmtId="0" fontId="3" fillId="18" borderId="8" xfId="0" applyFont="1" applyFill="1" applyBorder="1" applyAlignment="1">
      <alignment horizontal="center" vertical="center"/>
    </xf>
    <xf numFmtId="182" fontId="0" fillId="15" borderId="8" xfId="8" applyNumberFormat="1" applyFont="1" applyFill="1" applyBorder="1"/>
    <xf numFmtId="0" fontId="3" fillId="13" borderId="15" xfId="0" applyFont="1" applyFill="1" applyBorder="1"/>
    <xf numFmtId="0" fontId="3" fillId="13" borderId="31" xfId="0" applyFont="1" applyFill="1" applyBorder="1"/>
    <xf numFmtId="0" fontId="3" fillId="13" borderId="8" xfId="0" applyFont="1" applyFill="1" applyBorder="1" applyAlignment="1">
      <alignment horizontal="center"/>
    </xf>
    <xf numFmtId="42" fontId="0" fillId="3" borderId="8" xfId="0" applyNumberFormat="1" applyFill="1" applyBorder="1" applyAlignment="1">
      <alignment horizontal="center" vertical="center"/>
    </xf>
    <xf numFmtId="185" fontId="0" fillId="3" borderId="15" xfId="0" applyNumberFormat="1" applyFill="1" applyBorder="1" applyAlignment="1">
      <alignment horizontal="center" vertical="center"/>
    </xf>
    <xf numFmtId="42" fontId="0" fillId="3" borderId="15" xfId="0" applyNumberForma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1" fontId="9" fillId="17" borderId="8" xfId="0" applyNumberFormat="1" applyFont="1" applyFill="1" applyBorder="1" applyAlignment="1">
      <alignment horizontal="center" vertical="center"/>
    </xf>
    <xf numFmtId="49" fontId="21" fillId="15" borderId="8" xfId="1" applyNumberFormat="1" applyFont="1" applyFill="1" applyBorder="1" applyAlignment="1">
      <alignment horizontal="center" vertical="center"/>
    </xf>
    <xf numFmtId="49" fontId="21" fillId="15" borderId="9" xfId="1" applyNumberFormat="1" applyFont="1" applyFill="1" applyBorder="1" applyAlignment="1">
      <alignment horizontal="center" vertical="center"/>
    </xf>
    <xf numFmtId="1" fontId="16" fillId="15" borderId="11" xfId="1" applyNumberFormat="1" applyFont="1" applyFill="1" applyBorder="1" applyAlignment="1">
      <alignment horizontal="center" vertical="center"/>
    </xf>
    <xf numFmtId="1" fontId="16" fillId="15" borderId="12" xfId="1" applyNumberFormat="1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/>
    </xf>
    <xf numFmtId="0" fontId="7" fillId="6" borderId="29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4" fontId="16" fillId="15" borderId="5" xfId="1" applyNumberFormat="1" applyFont="1" applyFill="1" applyBorder="1" applyAlignment="1">
      <alignment horizontal="center" vertical="center"/>
    </xf>
    <xf numFmtId="14" fontId="16" fillId="15" borderId="6" xfId="1" applyNumberFormat="1" applyFont="1" applyFill="1" applyBorder="1" applyAlignment="1">
      <alignment horizontal="center" vertical="center"/>
    </xf>
    <xf numFmtId="49" fontId="16" fillId="15" borderId="8" xfId="1" applyNumberFormat="1" applyFont="1" applyFill="1" applyBorder="1" applyAlignment="1">
      <alignment horizontal="center" vertical="center"/>
    </xf>
    <xf numFmtId="49" fontId="16" fillId="15" borderId="9" xfId="1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7" fillId="18" borderId="2" xfId="0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0" fontId="7" fillId="15" borderId="43" xfId="0" applyFont="1" applyFill="1" applyBorder="1" applyAlignment="1">
      <alignment horizontal="center" vertical="center" wrapText="1"/>
    </xf>
    <xf numFmtId="0" fontId="7" fillId="15" borderId="44" xfId="0" applyFont="1" applyFill="1" applyBorder="1" applyAlignment="1">
      <alignment horizontal="center" vertical="center" wrapText="1"/>
    </xf>
    <xf numFmtId="14" fontId="3" fillId="15" borderId="5" xfId="1" applyNumberFormat="1" applyFont="1" applyFill="1" applyBorder="1" applyAlignment="1">
      <alignment horizontal="center"/>
    </xf>
    <xf numFmtId="14" fontId="3" fillId="15" borderId="6" xfId="1" applyNumberFormat="1" applyFont="1" applyFill="1" applyBorder="1" applyAlignment="1">
      <alignment horizontal="center"/>
    </xf>
    <xf numFmtId="49" fontId="3" fillId="15" borderId="8" xfId="1" applyNumberFormat="1" applyFont="1" applyFill="1" applyBorder="1" applyAlignment="1">
      <alignment horizontal="center"/>
    </xf>
    <xf numFmtId="49" fontId="3" fillId="15" borderId="9" xfId="1" applyNumberFormat="1" applyFont="1" applyFill="1" applyBorder="1" applyAlignment="1">
      <alignment horizontal="center"/>
    </xf>
    <xf numFmtId="168" fontId="3" fillId="15" borderId="35" xfId="1" applyFont="1" applyFill="1" applyBorder="1" applyAlignment="1">
      <alignment horizontal="center" vertical="center"/>
    </xf>
    <xf numFmtId="168" fontId="3" fillId="15" borderId="36" xfId="1" applyFont="1" applyFill="1" applyBorder="1" applyAlignment="1">
      <alignment horizontal="center" vertical="center"/>
    </xf>
    <xf numFmtId="0" fontId="7" fillId="18" borderId="20" xfId="0" applyFont="1" applyFill="1" applyBorder="1" applyAlignment="1">
      <alignment horizontal="center"/>
    </xf>
    <xf numFmtId="0" fontId="7" fillId="18" borderId="17" xfId="0" applyFont="1" applyFill="1" applyBorder="1" applyAlignment="1">
      <alignment horizontal="center"/>
    </xf>
    <xf numFmtId="0" fontId="7" fillId="18" borderId="30" xfId="0" applyFont="1" applyFill="1" applyBorder="1" applyAlignment="1">
      <alignment horizontal="center"/>
    </xf>
    <xf numFmtId="1" fontId="16" fillId="15" borderId="35" xfId="1" applyNumberFormat="1" applyFont="1" applyFill="1" applyBorder="1" applyAlignment="1">
      <alignment horizontal="center"/>
    </xf>
    <xf numFmtId="1" fontId="16" fillId="15" borderId="36" xfId="1" applyNumberFormat="1" applyFont="1" applyFill="1" applyBorder="1" applyAlignment="1">
      <alignment horizontal="center"/>
    </xf>
    <xf numFmtId="0" fontId="1" fillId="0" borderId="1" xfId="5" applyBorder="1" applyAlignment="1">
      <alignment horizontal="center" vertical="center" wrapText="1"/>
    </xf>
    <xf numFmtId="0" fontId="1" fillId="0" borderId="2" xfId="5" applyBorder="1" applyAlignment="1">
      <alignment horizontal="center" vertical="center" wrapText="1"/>
    </xf>
    <xf numFmtId="0" fontId="1" fillId="0" borderId="3" xfId="5" applyBorder="1" applyAlignment="1">
      <alignment horizontal="center" vertical="center" wrapText="1"/>
    </xf>
    <xf numFmtId="0" fontId="1" fillId="0" borderId="16" xfId="5" applyBorder="1" applyAlignment="1">
      <alignment horizontal="center" vertical="center" wrapText="1"/>
    </xf>
    <xf numFmtId="0" fontId="1" fillId="0" borderId="19" xfId="5" applyBorder="1" applyAlignment="1">
      <alignment horizontal="center" vertical="center" wrapText="1"/>
    </xf>
    <xf numFmtId="0" fontId="1" fillId="0" borderId="18" xfId="5" applyBorder="1" applyAlignment="1">
      <alignment horizontal="center" vertical="center" wrapText="1"/>
    </xf>
    <xf numFmtId="0" fontId="7" fillId="18" borderId="21" xfId="0" applyFont="1" applyFill="1" applyBorder="1" applyAlignment="1">
      <alignment horizontal="center"/>
    </xf>
    <xf numFmtId="2" fontId="16" fillId="15" borderId="39" xfId="1" applyNumberFormat="1" applyFont="1" applyFill="1" applyBorder="1" applyAlignment="1">
      <alignment horizontal="center"/>
    </xf>
    <xf numFmtId="2" fontId="16" fillId="15" borderId="41" xfId="1" applyNumberFormat="1" applyFont="1" applyFill="1" applyBorder="1" applyAlignment="1">
      <alignment horizontal="center"/>
    </xf>
    <xf numFmtId="0" fontId="3" fillId="15" borderId="40" xfId="0" applyFont="1" applyFill="1" applyBorder="1" applyAlignment="1">
      <alignment horizontal="left" indent="1"/>
    </xf>
    <xf numFmtId="0" fontId="3" fillId="15" borderId="13" xfId="0" applyFont="1" applyFill="1" applyBorder="1" applyAlignment="1">
      <alignment horizontal="left" indent="1"/>
    </xf>
    <xf numFmtId="0" fontId="3" fillId="15" borderId="7" xfId="0" applyFont="1" applyFill="1" applyBorder="1" applyAlignment="1">
      <alignment horizontal="left" indent="1"/>
    </xf>
    <xf numFmtId="0" fontId="3" fillId="15" borderId="8" xfId="0" applyFont="1" applyFill="1" applyBorder="1" applyAlignment="1">
      <alignment horizontal="left" indent="1"/>
    </xf>
    <xf numFmtId="0" fontId="18" fillId="15" borderId="42" xfId="5" applyFont="1" applyFill="1" applyBorder="1" applyAlignment="1">
      <alignment horizontal="left" indent="1"/>
    </xf>
    <xf numFmtId="0" fontId="18" fillId="15" borderId="25" xfId="5" applyFont="1" applyFill="1" applyBorder="1" applyAlignment="1">
      <alignment horizontal="left" indent="1"/>
    </xf>
    <xf numFmtId="1" fontId="16" fillId="15" borderId="22" xfId="1" applyNumberFormat="1" applyFont="1" applyFill="1" applyBorder="1" applyAlignment="1">
      <alignment horizontal="center"/>
    </xf>
    <xf numFmtId="1" fontId="16" fillId="15" borderId="37" xfId="1" applyNumberFormat="1" applyFont="1" applyFill="1" applyBorder="1" applyAlignment="1">
      <alignment horizontal="center"/>
    </xf>
    <xf numFmtId="0" fontId="5" fillId="0" borderId="4" xfId="5" applyFont="1" applyBorder="1" applyAlignment="1">
      <alignment horizontal="left"/>
    </xf>
    <xf numFmtId="0" fontId="5" fillId="0" borderId="5" xfId="5" applyFont="1" applyBorder="1" applyAlignment="1">
      <alignment horizontal="left"/>
    </xf>
    <xf numFmtId="0" fontId="3" fillId="0" borderId="7" xfId="5" applyFont="1" applyBorder="1" applyAlignment="1">
      <alignment horizontal="left"/>
    </xf>
    <xf numFmtId="0" fontId="3" fillId="0" borderId="8" xfId="5" applyFont="1" applyBorder="1" applyAlignment="1">
      <alignment horizontal="left"/>
    </xf>
    <xf numFmtId="0" fontId="3" fillId="0" borderId="10" xfId="5" applyFont="1" applyBorder="1" applyAlignment="1">
      <alignment horizontal="left"/>
    </xf>
    <xf numFmtId="0" fontId="3" fillId="0" borderId="11" xfId="5" applyFont="1" applyBorder="1" applyAlignment="1">
      <alignment horizontal="left"/>
    </xf>
    <xf numFmtId="0" fontId="14" fillId="0" borderId="20" xfId="5" applyFont="1" applyBorder="1" applyAlignment="1">
      <alignment horizontal="center"/>
    </xf>
    <xf numFmtId="0" fontId="14" fillId="0" borderId="17" xfId="5" applyFont="1" applyBorder="1" applyAlignment="1">
      <alignment horizontal="center"/>
    </xf>
    <xf numFmtId="0" fontId="14" fillId="0" borderId="21" xfId="5" applyFont="1" applyBorder="1" applyAlignment="1">
      <alignment horizontal="center"/>
    </xf>
    <xf numFmtId="0" fontId="7" fillId="6" borderId="4" xfId="5" applyFont="1" applyFill="1" applyBorder="1" applyAlignment="1">
      <alignment horizontal="center"/>
    </xf>
    <xf numFmtId="0" fontId="7" fillId="6" borderId="5" xfId="5" applyFont="1" applyFill="1" applyBorder="1" applyAlignment="1">
      <alignment horizontal="center"/>
    </xf>
    <xf numFmtId="0" fontId="7" fillId="6" borderId="6" xfId="5" applyFont="1" applyFill="1" applyBorder="1" applyAlignment="1">
      <alignment horizontal="center"/>
    </xf>
    <xf numFmtId="0" fontId="18" fillId="15" borderId="7" xfId="5" applyFont="1" applyFill="1" applyBorder="1" applyAlignment="1">
      <alignment horizontal="left" indent="1"/>
    </xf>
    <xf numFmtId="0" fontId="18" fillId="15" borderId="8" xfId="5" applyFont="1" applyFill="1" applyBorder="1" applyAlignment="1">
      <alignment horizontal="left" indent="1"/>
    </xf>
    <xf numFmtId="0" fontId="18" fillId="15" borderId="10" xfId="5" applyFont="1" applyFill="1" applyBorder="1" applyAlignment="1">
      <alignment horizontal="left" indent="1"/>
    </xf>
    <xf numFmtId="0" fontId="18" fillId="15" borderId="11" xfId="5" applyFont="1" applyFill="1" applyBorder="1" applyAlignment="1">
      <alignment horizontal="left" indent="1"/>
    </xf>
    <xf numFmtId="14" fontId="16" fillId="15" borderId="39" xfId="1" applyNumberFormat="1" applyFont="1" applyFill="1" applyBorder="1" applyAlignment="1">
      <alignment horizontal="center"/>
    </xf>
    <xf numFmtId="14" fontId="16" fillId="15" borderId="41" xfId="1" applyNumberFormat="1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3" fillId="15" borderId="40" xfId="0" applyFont="1" applyFill="1" applyBorder="1" applyAlignment="1">
      <alignment horizontal="left" vertical="center"/>
    </xf>
    <xf numFmtId="0" fontId="3" fillId="15" borderId="13" xfId="0" applyFont="1" applyFill="1" applyBorder="1" applyAlignment="1">
      <alignment horizontal="left" vertical="center"/>
    </xf>
    <xf numFmtId="0" fontId="3" fillId="15" borderId="7" xfId="0" applyFont="1" applyFill="1" applyBorder="1" applyAlignment="1">
      <alignment horizontal="left" vertical="center"/>
    </xf>
    <xf numFmtId="0" fontId="3" fillId="15" borderId="8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left" vertical="center"/>
    </xf>
    <xf numFmtId="0" fontId="3" fillId="15" borderId="11" xfId="0" applyFont="1" applyFill="1" applyBorder="1" applyAlignment="1">
      <alignment horizontal="left" vertical="center"/>
    </xf>
    <xf numFmtId="0" fontId="7" fillId="18" borderId="20" xfId="0" applyFont="1" applyFill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49" fontId="3" fillId="15" borderId="35" xfId="1" applyNumberFormat="1" applyFont="1" applyFill="1" applyBorder="1" applyAlignment="1">
      <alignment horizontal="center"/>
    </xf>
    <xf numFmtId="49" fontId="3" fillId="15" borderId="36" xfId="1" applyNumberFormat="1" applyFont="1" applyFill="1" applyBorder="1" applyAlignment="1">
      <alignment horizontal="center"/>
    </xf>
    <xf numFmtId="0" fontId="7" fillId="18" borderId="30" xfId="0" applyFont="1" applyFill="1" applyBorder="1" applyAlignment="1">
      <alignment horizontal="center" vertical="center"/>
    </xf>
    <xf numFmtId="49" fontId="3" fillId="15" borderId="22" xfId="1" applyNumberFormat="1" applyFont="1" applyFill="1" applyBorder="1" applyAlignment="1">
      <alignment horizontal="center"/>
    </xf>
    <xf numFmtId="49" fontId="3" fillId="15" borderId="37" xfId="1" applyNumberFormat="1" applyFont="1" applyFill="1" applyBorder="1" applyAlignment="1">
      <alignment horizontal="center"/>
    </xf>
    <xf numFmtId="14" fontId="3" fillId="15" borderId="33" xfId="1" applyNumberFormat="1" applyFont="1" applyFill="1" applyBorder="1" applyAlignment="1">
      <alignment horizontal="center"/>
    </xf>
    <xf numFmtId="14" fontId="3" fillId="15" borderId="24" xfId="1" applyNumberFormat="1" applyFont="1" applyFill="1" applyBorder="1" applyAlignment="1">
      <alignment horizontal="center"/>
    </xf>
    <xf numFmtId="0" fontId="7" fillId="18" borderId="26" xfId="0" applyFont="1" applyFill="1" applyBorder="1" applyAlignment="1">
      <alignment horizontal="center" vertical="center"/>
    </xf>
    <xf numFmtId="0" fontId="7" fillId="18" borderId="3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15" borderId="7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7" fillId="18" borderId="26" xfId="0" applyFont="1" applyFill="1" applyBorder="1" applyAlignment="1">
      <alignment horizontal="center"/>
    </xf>
    <xf numFmtId="0" fontId="7" fillId="18" borderId="27" xfId="0" applyFont="1" applyFill="1" applyBorder="1" applyAlignment="1">
      <alignment horizontal="center"/>
    </xf>
    <xf numFmtId="0" fontId="7" fillId="18" borderId="28" xfId="0" applyFont="1" applyFill="1" applyBorder="1" applyAlignment="1">
      <alignment horizontal="center"/>
    </xf>
    <xf numFmtId="0" fontId="7" fillId="18" borderId="34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18" borderId="47" xfId="0" applyFill="1" applyBorder="1" applyAlignment="1">
      <alignment horizontal="center" vertical="center" wrapText="1"/>
    </xf>
    <xf numFmtId="0" fontId="0" fillId="18" borderId="48" xfId="0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6" borderId="46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3" fillId="15" borderId="10" xfId="0" applyFont="1" applyFill="1" applyBorder="1" applyAlignment="1">
      <alignment horizontal="left"/>
    </xf>
    <xf numFmtId="0" fontId="3" fillId="15" borderId="11" xfId="0" applyFont="1" applyFill="1" applyBorder="1" applyAlignment="1">
      <alignment horizontal="left"/>
    </xf>
    <xf numFmtId="0" fontId="3" fillId="15" borderId="40" xfId="0" applyFont="1" applyFill="1" applyBorder="1" applyAlignment="1">
      <alignment horizontal="left"/>
    </xf>
    <xf numFmtId="0" fontId="3" fillId="15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7" fillId="15" borderId="8" xfId="0" applyFont="1" applyFill="1" applyBorder="1" applyAlignment="1">
      <alignment horizontal="left" wrapText="1"/>
    </xf>
    <xf numFmtId="0" fontId="7" fillId="24" borderId="8" xfId="0" applyFont="1" applyFill="1" applyBorder="1" applyAlignment="1">
      <alignment horizontal="center" vertical="center"/>
    </xf>
    <xf numFmtId="0" fontId="7" fillId="25" borderId="22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25" borderId="25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/>
    </xf>
    <xf numFmtId="0" fontId="3" fillId="11" borderId="22" xfId="0" applyFont="1" applyFill="1" applyBorder="1" applyAlignment="1">
      <alignment horizontal="left" vertical="center"/>
    </xf>
    <xf numFmtId="0" fontId="3" fillId="11" borderId="25" xfId="0" applyFont="1" applyFill="1" applyBorder="1" applyAlignment="1">
      <alignment horizontal="left" vertical="center"/>
    </xf>
    <xf numFmtId="0" fontId="3" fillId="7" borderId="22" xfId="0" applyFont="1" applyFill="1" applyBorder="1" applyAlignment="1">
      <alignment horizontal="left"/>
    </xf>
    <xf numFmtId="0" fontId="3" fillId="7" borderId="25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42" fontId="4" fillId="16" borderId="22" xfId="3" applyFont="1" applyFill="1" applyBorder="1" applyAlignment="1">
      <alignment horizontal="left"/>
    </xf>
    <xf numFmtId="42" fontId="4" fillId="16" borderId="25" xfId="3" applyFont="1" applyFill="1" applyBorder="1" applyAlignment="1">
      <alignment horizontal="left"/>
    </xf>
    <xf numFmtId="0" fontId="7" fillId="18" borderId="8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vertical="center" wrapText="1"/>
    </xf>
    <xf numFmtId="42" fontId="7" fillId="12" borderId="8" xfId="3" applyFont="1" applyFill="1" applyBorder="1" applyAlignment="1">
      <alignment horizontal="left"/>
    </xf>
    <xf numFmtId="0" fontId="7" fillId="9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/>
    </xf>
    <xf numFmtId="0" fontId="7" fillId="9" borderId="49" xfId="0" applyFont="1" applyFill="1" applyBorder="1" applyAlignment="1">
      <alignment horizontal="center"/>
    </xf>
    <xf numFmtId="0" fontId="7" fillId="9" borderId="25" xfId="0" applyFont="1" applyFill="1" applyBorder="1" applyAlignment="1">
      <alignment horizontal="center"/>
    </xf>
  </cellXfs>
  <cellStyles count="9">
    <cellStyle name="Millares" xfId="8" builtinId="3"/>
    <cellStyle name="Millares [0]" xfId="1" builtinId="6"/>
    <cellStyle name="Moneda" xfId="2" builtinId="4"/>
    <cellStyle name="Moneda [0]" xfId="3" builtinId="7"/>
    <cellStyle name="Moneda [0] 2" xfId="7"/>
    <cellStyle name="Normal" xfId="0" builtinId="0"/>
    <cellStyle name="Normal 2" xfId="5"/>
    <cellStyle name="Porcentaje" xfId="4" builtinId="5"/>
    <cellStyle name="Porcentaje 2" xfId="6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433551</xdr:colOff>
      <xdr:row>27</xdr:row>
      <xdr:rowOff>13138</xdr:rowOff>
    </xdr:from>
    <xdr:to>
      <xdr:col>17</xdr:col>
      <xdr:colOff>0</xdr:colOff>
      <xdr:row>29</xdr:row>
      <xdr:rowOff>91966</xdr:rowOff>
    </xdr:to>
    <xdr:cxnSp macro="">
      <xdr:nvCxnSpPr>
        <xdr:cNvPr id="3" name="Conector angular 2"/>
        <xdr:cNvCxnSpPr/>
      </xdr:nvCxnSpPr>
      <xdr:spPr>
        <a:xfrm>
          <a:off x="14215241" y="4992414"/>
          <a:ext cx="453259" cy="407276"/>
        </a:xfrm>
        <a:prstGeom prst="bentConnector3">
          <a:avLst>
            <a:gd name="adj1" fmla="val 1572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19707</xdr:colOff>
      <xdr:row>27</xdr:row>
      <xdr:rowOff>45983</xdr:rowOff>
    </xdr:from>
    <xdr:to>
      <xdr:col>17</xdr:col>
      <xdr:colOff>578069</xdr:colOff>
      <xdr:row>32</xdr:row>
      <xdr:rowOff>85396</xdr:rowOff>
    </xdr:to>
    <xdr:cxnSp macro="">
      <xdr:nvCxnSpPr>
        <xdr:cNvPr id="11" name="Conector angular 10"/>
        <xdr:cNvCxnSpPr/>
      </xdr:nvCxnSpPr>
      <xdr:spPr>
        <a:xfrm rot="5400000">
          <a:off x="14537121" y="5176345"/>
          <a:ext cx="860534" cy="558362"/>
        </a:xfrm>
        <a:prstGeom prst="bentConnector3">
          <a:avLst>
            <a:gd name="adj1" fmla="val 988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uricio angel riveros" id="{71AD207C-398D-4D90-B0F2-D886A6F34BB0}" userId="76752812b0e919f8" providerId="Windows Live"/>
  <person displayName="Magda Liliana Murcia" id="{F64C1057-9D56-41D5-A20E-79753B97B9E0}" userId="S::lmurcia@fedepanela.onmicrosoft.com::61a5440b-2373-439b-aa3c-b5f84c18f3e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22-07-18T14:32:00.41" personId="{F64C1057-9D56-41D5-A20E-79753B97B9E0}" id="{C0636A39-90F9-46C6-8CF9-AFDE6D072F99}">
    <text>Incluye alimentación- Diario alimentación 12 mil Caldas Diario 18 mil alimentación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9" dT="2020-05-25T14:33:37.95" personId="{71AD207C-398D-4D90-B0F2-D886A6F34BB0}" id="{25178E2C-0CEA-461B-932C-91D44AC8E43F}">
    <text>litros</text>
  </threadedComment>
  <threadedComment ref="E50" dT="2020-05-25T14:33:51.81" personId="{71AD207C-398D-4D90-B0F2-D886A6F34BB0}" id="{E76F3187-76B6-4397-88DB-CB2FCD2E6F71}">
    <text>litros</text>
  </threadedComment>
  <threadedComment ref="E51" dT="2020-05-25T14:35:57.07" personId="{71AD207C-398D-4D90-B0F2-D886A6F34BB0}" id="{424303C0-721F-4706-82E4-C42BCDC44D28}">
    <text>pulgada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20" dT="2022-07-18T15:30:15.67" personId="{F64C1057-9D56-41D5-A20E-79753B97B9E0}" id="{9C255471-BDB8-4B33-AC03-339CBB0A111F}">
    <text>Deshoje, Limpia sencilla, arreglo cepa-Rendimiento de 800-900 kg de caña día/hombre</text>
  </threadedComment>
  <threadedComment ref="D21" dT="2022-07-18T15:32:50.80" personId="{F64C1057-9D56-41D5-A20E-79753B97B9E0}" id="{EB9E8415-12E4-4A18-A7A3-762F83728F05}">
    <text>Saca caña al camino para el cargue</text>
  </threadedComment>
  <threadedComment ref="D36" dT="2022-07-18T15:40:54.97" personId="{F64C1057-9D56-41D5-A20E-79753B97B9E0}" id="{421B1B87-19DF-4462-B8DB-36B85BE92589}">
    <text>Máximo dos mulas para 65 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21" dT="2020-05-25T14:56:21.50" personId="{71AD207C-398D-4D90-B0F2-D886A6F34BB0}" id="{EEE07121-4027-4A2B-BB39-18E00127E02A}">
    <text>Y A ESTA EN CAT</text>
  </threadedComment>
  <threadedComment ref="E62" dT="2020-05-25T15:15:51.53" personId="{71AD207C-398D-4D90-B0F2-D886A6F34BB0}" id="{131F9163-A335-4E3C-8D10-B552D9757019}">
    <text>cargas, kilos u otro</text>
  </threadedComment>
  <threadedComment ref="E63" dT="2020-05-25T15:18:10.04" personId="{71AD207C-398D-4D90-B0F2-D886A6F34BB0}" id="{04AC836C-2A6C-4C8F-94C7-1E808A514C99}">
    <text>jornales</text>
  </threadedComment>
  <threadedComment ref="D64" dT="2020-05-25T15:18:40.46" personId="{71AD207C-398D-4D90-B0F2-D886A6F34BB0}" id="{A6AB20CB-2F2C-4A22-B34C-4AF7C2B9BC1B}">
    <text>a que se refiere</text>
  </threadedComment>
  <threadedComment ref="D65" dT="2020-05-25T15:19:18.50" personId="{71AD207C-398D-4D90-B0F2-D886A6F34BB0}" id="{61DE155C-AFAA-4C71-A752-D5360D488C78}">
    <text>si paga alquiler no tiene este rubro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9" dT="2022-07-18T15:55:57.51" personId="{F64C1057-9D56-41D5-A20E-79753B97B9E0}" id="{2B083866-C50C-4255-8828-BEBD9E794880}">
    <text>incluye alimentación de 15 mil diario</text>
  </threadedComment>
  <threadedComment ref="D21" dT="2020-05-25T15:27:26.66" personId="{71AD207C-398D-4D90-B0F2-D886A6F34BB0}" id="{7E6825D9-7B6A-4655-AA94-1ED34DB65A7D}">
    <text>ya esta en el cat</text>
  </threadedComment>
  <threadedComment ref="D85" dT="2022-07-18T16:05:34.20" personId="{F64C1057-9D56-41D5-A20E-79753B97B9E0}" id="{5E679BB8-8B54-4977-AEE2-DACB8BDD125A}">
    <text>Embala en presentación de 24 Kg en Bolsa de Papel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92D050"/>
  </sheetPr>
  <dimension ref="A1:DL81"/>
  <sheetViews>
    <sheetView showGridLines="0" view="pageBreakPreview" topLeftCell="A10" zoomScale="75" zoomScaleNormal="75" zoomScaleSheetLayoutView="75" workbookViewId="0">
      <selection activeCell="E6" sqref="E6:F6"/>
    </sheetView>
  </sheetViews>
  <sheetFormatPr baseColWidth="10" defaultColWidth="11.42578125" defaultRowHeight="12.75" x14ac:dyDescent="0.2"/>
  <cols>
    <col min="1" max="1" width="2.140625" style="4" customWidth="1"/>
    <col min="2" max="2" width="2.140625" style="5" customWidth="1"/>
    <col min="3" max="3" width="4.5703125" style="5" bestFit="1" customWidth="1"/>
    <col min="4" max="4" width="53.85546875" style="5" customWidth="1"/>
    <col min="5" max="5" width="17.5703125" style="5" bestFit="1" customWidth="1"/>
    <col min="6" max="6" width="14.85546875" style="5" customWidth="1"/>
    <col min="7" max="7" width="18.28515625" style="68" bestFit="1" customWidth="1"/>
    <col min="8" max="8" width="15.28515625" style="68" bestFit="1" customWidth="1"/>
    <col min="9" max="9" width="2.85546875" style="5" customWidth="1"/>
    <col min="10" max="10" width="11.42578125" style="4"/>
    <col min="11" max="11" width="14.42578125" style="4" customWidth="1"/>
    <col min="12" max="13" width="11.42578125" style="4"/>
    <col min="14" max="14" width="15.140625" style="4" customWidth="1"/>
    <col min="15" max="16384" width="11.42578125" style="4"/>
  </cols>
  <sheetData>
    <row r="1" spans="1:116" ht="12.75" customHeight="1" thickBot="1" x14ac:dyDescent="0.25"/>
    <row r="2" spans="1:116" ht="12.75" customHeight="1" x14ac:dyDescent="0.2">
      <c r="B2" s="69"/>
      <c r="C2" s="289" t="s">
        <v>174</v>
      </c>
      <c r="D2" s="290"/>
      <c r="E2" s="290"/>
      <c r="F2" s="290"/>
      <c r="G2" s="290"/>
      <c r="H2" s="291"/>
      <c r="I2" s="69"/>
    </row>
    <row r="3" spans="1:116" ht="12.75" customHeight="1" thickBot="1" x14ac:dyDescent="0.25">
      <c r="C3" s="292" t="s">
        <v>175</v>
      </c>
      <c r="D3" s="293"/>
      <c r="E3" s="293"/>
      <c r="F3" s="293"/>
      <c r="G3" s="293"/>
      <c r="H3" s="294"/>
    </row>
    <row r="4" spans="1:116" ht="12.75" customHeight="1" thickBot="1" x14ac:dyDescent="0.25">
      <c r="C4" s="151"/>
      <c r="D4" s="151"/>
      <c r="E4" s="151"/>
      <c r="F4" s="151"/>
      <c r="G4" s="4"/>
      <c r="H4" s="4"/>
      <c r="I4" s="4"/>
    </row>
    <row r="5" spans="1:116" customFormat="1" ht="12.75" customHeight="1" thickBot="1" x14ac:dyDescent="0.3">
      <c r="A5" s="8"/>
      <c r="D5" s="299" t="s">
        <v>302</v>
      </c>
      <c r="E5" s="300"/>
      <c r="F5" s="301"/>
    </row>
    <row r="6" spans="1:116" s="150" customFormat="1" ht="12.75" customHeight="1" x14ac:dyDescent="0.2">
      <c r="B6" s="153"/>
      <c r="C6" s="151"/>
      <c r="D6" s="175" t="s">
        <v>288</v>
      </c>
      <c r="E6" s="295"/>
      <c r="F6" s="296"/>
      <c r="G6" s="4"/>
      <c r="H6" s="4"/>
      <c r="I6" s="4"/>
      <c r="J6" s="4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49"/>
      <c r="CY6" s="149"/>
      <c r="CZ6" s="149"/>
      <c r="DA6" s="149"/>
      <c r="DB6" s="149"/>
      <c r="DC6" s="149"/>
      <c r="DD6" s="149"/>
      <c r="DE6" s="149"/>
      <c r="DF6" s="149"/>
      <c r="DG6" s="149"/>
      <c r="DH6" s="149"/>
      <c r="DI6" s="149"/>
      <c r="DJ6" s="149"/>
      <c r="DK6" s="149"/>
      <c r="DL6" s="149"/>
    </row>
    <row r="7" spans="1:116" s="150" customFormat="1" ht="12.75" customHeight="1" x14ac:dyDescent="0.2">
      <c r="B7" s="153"/>
      <c r="C7" s="151"/>
      <c r="D7" s="176" t="s">
        <v>289</v>
      </c>
      <c r="E7" s="297"/>
      <c r="F7" s="298"/>
      <c r="G7" s="4"/>
      <c r="H7" s="4"/>
      <c r="I7" s="4"/>
      <c r="J7" s="4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  <c r="CT7" s="149"/>
      <c r="CU7" s="149"/>
      <c r="CV7" s="149"/>
      <c r="CW7" s="149"/>
      <c r="CX7" s="149"/>
      <c r="CY7" s="149"/>
      <c r="CZ7" s="149"/>
      <c r="DA7" s="149"/>
      <c r="DB7" s="149"/>
      <c r="DC7" s="149"/>
      <c r="DD7" s="149"/>
      <c r="DE7" s="149"/>
      <c r="DF7" s="149"/>
      <c r="DG7" s="149"/>
      <c r="DH7" s="149"/>
      <c r="DI7" s="149"/>
      <c r="DJ7" s="149"/>
      <c r="DK7" s="149"/>
      <c r="DL7" s="149"/>
    </row>
    <row r="8" spans="1:116" s="150" customFormat="1" ht="12.75" customHeight="1" thickBot="1" x14ac:dyDescent="0.25">
      <c r="B8" s="153"/>
      <c r="C8" s="151"/>
      <c r="D8" s="176" t="s">
        <v>290</v>
      </c>
      <c r="E8" s="282"/>
      <c r="F8" s="283"/>
      <c r="G8" s="4"/>
      <c r="H8" s="4"/>
      <c r="I8" s="4"/>
      <c r="J8" s="4"/>
      <c r="K8" s="149" t="s">
        <v>287</v>
      </c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9"/>
      <c r="CU8" s="149"/>
      <c r="CV8" s="149"/>
      <c r="CW8" s="149"/>
      <c r="CX8" s="149"/>
      <c r="CY8" s="149"/>
      <c r="CZ8" s="149"/>
      <c r="DA8" s="149"/>
      <c r="DB8" s="149"/>
      <c r="DC8" s="149"/>
      <c r="DD8" s="149"/>
      <c r="DE8" s="149"/>
      <c r="DF8" s="149"/>
      <c r="DG8" s="149"/>
      <c r="DH8" s="149"/>
      <c r="DI8" s="149"/>
      <c r="DJ8" s="149"/>
      <c r="DK8" s="149"/>
      <c r="DL8" s="149"/>
    </row>
    <row r="9" spans="1:116" s="150" customFormat="1" ht="12.75" customHeight="1" x14ac:dyDescent="0.2">
      <c r="B9" s="153"/>
      <c r="C9" s="151"/>
      <c r="D9" s="176" t="s">
        <v>291</v>
      </c>
      <c r="E9" s="282"/>
      <c r="F9" s="283"/>
      <c r="G9" s="4"/>
      <c r="H9" s="302" t="s">
        <v>1</v>
      </c>
      <c r="I9" s="4"/>
      <c r="J9" s="4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</row>
    <row r="10" spans="1:116" s="150" customFormat="1" ht="12.75" customHeight="1" x14ac:dyDescent="0.2">
      <c r="B10" s="153"/>
      <c r="C10" s="151"/>
      <c r="D10" s="176" t="s">
        <v>292</v>
      </c>
      <c r="E10" s="282"/>
      <c r="F10" s="283"/>
      <c r="G10" s="4"/>
      <c r="H10" s="303"/>
      <c r="I10" s="4"/>
      <c r="J10" s="4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  <c r="CT10" s="149"/>
      <c r="CU10" s="149"/>
      <c r="CV10" s="149"/>
      <c r="CW10" s="149"/>
      <c r="CX10" s="149"/>
      <c r="CY10" s="149"/>
      <c r="CZ10" s="149"/>
      <c r="DA10" s="149"/>
      <c r="DB10" s="149"/>
      <c r="DC10" s="149"/>
      <c r="DD10" s="149"/>
      <c r="DE10" s="149"/>
      <c r="DF10" s="149"/>
      <c r="DG10" s="149"/>
      <c r="DH10" s="149"/>
      <c r="DI10" s="149"/>
      <c r="DJ10" s="149"/>
      <c r="DK10" s="149"/>
      <c r="DL10" s="149"/>
    </row>
    <row r="11" spans="1:116" s="150" customFormat="1" ht="12.75" customHeight="1" x14ac:dyDescent="0.2">
      <c r="A11" s="152"/>
      <c r="B11"/>
      <c r="C11"/>
      <c r="D11" s="176" t="s">
        <v>303</v>
      </c>
      <c r="E11" s="282"/>
      <c r="F11" s="283"/>
      <c r="G11" s="4"/>
      <c r="H11" s="303"/>
      <c r="I11" s="4"/>
      <c r="J11" s="4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  <c r="CT11" s="149"/>
      <c r="CU11" s="149"/>
      <c r="CV11" s="149"/>
      <c r="CW11" s="149"/>
      <c r="CX11" s="149"/>
      <c r="CY11" s="149"/>
      <c r="CZ11" s="149"/>
      <c r="DA11" s="149"/>
      <c r="DB11" s="149"/>
      <c r="DC11" s="149"/>
      <c r="DD11" s="149"/>
      <c r="DE11" s="149"/>
      <c r="DF11" s="149"/>
      <c r="DG11" s="149"/>
      <c r="DH11" s="149"/>
      <c r="DI11" s="149"/>
      <c r="DJ11" s="149"/>
      <c r="DK11" s="149"/>
      <c r="DL11" s="149"/>
    </row>
    <row r="12" spans="1:116" s="150" customFormat="1" ht="12.75" customHeight="1" x14ac:dyDescent="0.2">
      <c r="B12" s="153"/>
      <c r="C12" s="151"/>
      <c r="D12" s="176" t="s">
        <v>293</v>
      </c>
      <c r="E12" s="282"/>
      <c r="F12" s="283"/>
      <c r="G12" s="4"/>
      <c r="H12" s="303"/>
      <c r="I12" s="4"/>
      <c r="J12" s="4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  <c r="CT12" s="149"/>
      <c r="CU12" s="149"/>
      <c r="CV12" s="149"/>
      <c r="CW12" s="149"/>
      <c r="CX12" s="149"/>
      <c r="CY12" s="149"/>
      <c r="CZ12" s="149"/>
      <c r="DA12" s="149"/>
      <c r="DB12" s="149"/>
      <c r="DC12" s="149"/>
      <c r="DD12" s="149"/>
      <c r="DE12" s="149"/>
      <c r="DF12" s="149"/>
      <c r="DG12" s="149"/>
      <c r="DH12" s="149"/>
      <c r="DI12" s="149"/>
      <c r="DJ12" s="149"/>
      <c r="DK12" s="149"/>
      <c r="DL12" s="149"/>
    </row>
    <row r="13" spans="1:116" s="150" customFormat="1" ht="12.75" customHeight="1" thickBot="1" x14ac:dyDescent="0.25">
      <c r="A13" s="149"/>
      <c r="B13" s="149"/>
      <c r="C13" s="151"/>
      <c r="D13" s="192" t="s">
        <v>316</v>
      </c>
      <c r="E13" s="297"/>
      <c r="F13" s="298"/>
      <c r="G13" s="4"/>
      <c r="H13" s="210"/>
      <c r="I13" s="4"/>
      <c r="J13" s="4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  <c r="CT13" s="149"/>
      <c r="CU13" s="149"/>
      <c r="CV13" s="149"/>
      <c r="CW13" s="149"/>
      <c r="CX13" s="149"/>
      <c r="CY13" s="149"/>
      <c r="CZ13" s="149"/>
      <c r="DA13" s="149"/>
      <c r="DB13" s="149"/>
      <c r="DC13" s="149"/>
      <c r="DD13" s="149"/>
      <c r="DE13" s="149"/>
      <c r="DF13" s="149"/>
      <c r="DG13" s="149"/>
      <c r="DH13" s="149"/>
      <c r="DI13" s="149"/>
      <c r="DJ13" s="149"/>
      <c r="DK13" s="149"/>
      <c r="DL13" s="149"/>
    </row>
    <row r="14" spans="1:116" s="150" customFormat="1" ht="12.75" customHeight="1" thickBot="1" x14ac:dyDescent="0.25">
      <c r="A14" s="149"/>
      <c r="B14" s="149"/>
      <c r="C14" s="151"/>
      <c r="D14" s="177" t="s">
        <v>298</v>
      </c>
      <c r="E14" s="284"/>
      <c r="F14" s="285"/>
      <c r="G14" s="4"/>
      <c r="H14" s="4"/>
      <c r="I14" s="4"/>
      <c r="J14" s="4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  <c r="CT14" s="149"/>
      <c r="CU14" s="149"/>
      <c r="CV14" s="149"/>
      <c r="CW14" s="149"/>
      <c r="CX14" s="149"/>
      <c r="CY14" s="149"/>
      <c r="CZ14" s="149"/>
      <c r="DA14" s="149"/>
      <c r="DB14" s="149"/>
      <c r="DC14" s="149"/>
      <c r="DD14" s="149"/>
      <c r="DE14" s="149"/>
      <c r="DF14" s="149"/>
      <c r="DG14" s="149"/>
      <c r="DH14" s="149"/>
      <c r="DI14" s="149"/>
      <c r="DJ14" s="149"/>
      <c r="DK14" s="149"/>
      <c r="DL14" s="149"/>
    </row>
    <row r="15" spans="1:116" ht="12.75" customHeight="1" thickBot="1" x14ac:dyDescent="0.25">
      <c r="D15" s="70"/>
      <c r="E15" s="70"/>
      <c r="F15" s="149"/>
      <c r="G15" s="149"/>
      <c r="H15" s="72"/>
    </row>
    <row r="16" spans="1:116" ht="12.75" customHeight="1" x14ac:dyDescent="0.2">
      <c r="C16" s="59">
        <v>1</v>
      </c>
      <c r="D16" s="64" t="s">
        <v>178</v>
      </c>
      <c r="E16" s="65" t="s">
        <v>3</v>
      </c>
      <c r="F16" s="66" t="s">
        <v>4</v>
      </c>
      <c r="G16" s="28" t="s">
        <v>215</v>
      </c>
      <c r="H16" s="67" t="s">
        <v>216</v>
      </c>
    </row>
    <row r="17" spans="3:8" ht="12.75" customHeight="1" x14ac:dyDescent="0.2">
      <c r="C17" s="83" t="s">
        <v>15</v>
      </c>
      <c r="D17" s="78" t="s">
        <v>165</v>
      </c>
      <c r="E17" s="30" t="s">
        <v>14</v>
      </c>
      <c r="F17" s="209">
        <v>0</v>
      </c>
      <c r="G17" s="79">
        <v>0</v>
      </c>
      <c r="H17" s="81">
        <f>F17*G17</f>
        <v>0</v>
      </c>
    </row>
    <row r="18" spans="3:8" ht="12.75" customHeight="1" x14ac:dyDescent="0.2">
      <c r="C18" s="83" t="s">
        <v>16</v>
      </c>
      <c r="D18" s="78" t="s">
        <v>166</v>
      </c>
      <c r="E18" s="30" t="s">
        <v>14</v>
      </c>
      <c r="F18" s="209"/>
      <c r="G18" s="79"/>
      <c r="H18" s="81">
        <f>F18*G18</f>
        <v>0</v>
      </c>
    </row>
    <row r="19" spans="3:8" ht="12.75" customHeight="1" x14ac:dyDescent="0.2">
      <c r="C19" s="83" t="s">
        <v>18</v>
      </c>
      <c r="D19" s="78" t="s">
        <v>337</v>
      </c>
      <c r="E19" s="30" t="s">
        <v>14</v>
      </c>
      <c r="F19" s="209"/>
      <c r="G19" s="79"/>
      <c r="H19" s="81">
        <f>F19*G19</f>
        <v>0</v>
      </c>
    </row>
    <row r="20" spans="3:8" ht="12.75" customHeight="1" x14ac:dyDescent="0.2">
      <c r="C20" s="83" t="s">
        <v>19</v>
      </c>
      <c r="D20" s="78" t="s">
        <v>176</v>
      </c>
      <c r="E20" s="30" t="s">
        <v>14</v>
      </c>
      <c r="F20" s="209"/>
      <c r="G20" s="79"/>
      <c r="H20" s="81">
        <f t="shared" ref="H20:H29" si="0">F20*G20</f>
        <v>0</v>
      </c>
    </row>
    <row r="21" spans="3:8" ht="12.75" customHeight="1" x14ac:dyDescent="0.2">
      <c r="C21" s="83" t="s">
        <v>21</v>
      </c>
      <c r="D21" s="78" t="s">
        <v>338</v>
      </c>
      <c r="E21" s="30" t="s">
        <v>14</v>
      </c>
      <c r="F21" s="209"/>
      <c r="G21" s="79"/>
      <c r="H21" s="81">
        <f t="shared" si="0"/>
        <v>0</v>
      </c>
    </row>
    <row r="22" spans="3:8" ht="12.75" customHeight="1" x14ac:dyDescent="0.2">
      <c r="C22" s="83" t="s">
        <v>22</v>
      </c>
      <c r="D22" s="78" t="s">
        <v>339</v>
      </c>
      <c r="E22" s="30" t="s">
        <v>14</v>
      </c>
      <c r="F22" s="209"/>
      <c r="G22" s="79"/>
      <c r="H22" s="81">
        <f t="shared" si="0"/>
        <v>0</v>
      </c>
    </row>
    <row r="23" spans="3:8" ht="12.75" customHeight="1" x14ac:dyDescent="0.2">
      <c r="C23" s="83" t="s">
        <v>23</v>
      </c>
      <c r="D23" s="78" t="s">
        <v>327</v>
      </c>
      <c r="E23" s="30" t="s">
        <v>14</v>
      </c>
      <c r="F23" s="209"/>
      <c r="G23" s="79"/>
      <c r="H23" s="81">
        <f t="shared" si="0"/>
        <v>0</v>
      </c>
    </row>
    <row r="24" spans="3:8" ht="12.75" customHeight="1" x14ac:dyDescent="0.2">
      <c r="C24" s="83" t="s">
        <v>74</v>
      </c>
      <c r="D24" s="78" t="s">
        <v>167</v>
      </c>
      <c r="E24" s="30" t="s">
        <v>14</v>
      </c>
      <c r="F24" s="209"/>
      <c r="G24" s="79"/>
      <c r="H24" s="81">
        <f t="shared" si="0"/>
        <v>0</v>
      </c>
    </row>
    <row r="25" spans="3:8" ht="12.75" customHeight="1" x14ac:dyDescent="0.2">
      <c r="C25" s="83" t="s">
        <v>54</v>
      </c>
      <c r="D25" s="78"/>
      <c r="E25" s="30"/>
      <c r="F25" s="209"/>
      <c r="G25" s="79"/>
      <c r="H25" s="81"/>
    </row>
    <row r="26" spans="3:8" ht="12.75" customHeight="1" x14ac:dyDescent="0.2">
      <c r="C26" s="83" t="s">
        <v>55</v>
      </c>
      <c r="D26" s="78"/>
      <c r="E26" s="30"/>
      <c r="F26" s="209"/>
      <c r="G26" s="79"/>
      <c r="H26" s="81">
        <f t="shared" si="0"/>
        <v>0</v>
      </c>
    </row>
    <row r="27" spans="3:8" ht="12.75" customHeight="1" x14ac:dyDescent="0.2">
      <c r="C27" s="83" t="s">
        <v>26</v>
      </c>
      <c r="D27" s="78"/>
      <c r="E27" s="30"/>
      <c r="F27" s="209"/>
      <c r="G27" s="79"/>
      <c r="H27" s="81">
        <f t="shared" si="0"/>
        <v>0</v>
      </c>
    </row>
    <row r="28" spans="3:8" ht="12.75" customHeight="1" x14ac:dyDescent="0.2">
      <c r="C28" s="83" t="s">
        <v>112</v>
      </c>
      <c r="D28" s="78"/>
      <c r="E28" s="30"/>
      <c r="F28" s="209"/>
      <c r="G28" s="79"/>
      <c r="H28" s="81">
        <f t="shared" si="0"/>
        <v>0</v>
      </c>
    </row>
    <row r="29" spans="3:8" ht="12.75" customHeight="1" x14ac:dyDescent="0.2">
      <c r="C29" s="83" t="s">
        <v>113</v>
      </c>
      <c r="D29" s="78" t="s">
        <v>177</v>
      </c>
      <c r="E29" s="30" t="s">
        <v>5</v>
      </c>
      <c r="F29" s="209"/>
      <c r="G29" s="79"/>
      <c r="H29" s="81">
        <f t="shared" si="0"/>
        <v>0</v>
      </c>
    </row>
    <row r="30" spans="3:8" ht="12.75" customHeight="1" x14ac:dyDescent="0.2">
      <c r="C30" s="154"/>
      <c r="D30" s="155" t="s">
        <v>168</v>
      </c>
      <c r="E30" s="156"/>
      <c r="F30" s="157"/>
      <c r="G30" s="158"/>
      <c r="H30" s="159">
        <f>SUM(H17:H29)</f>
        <v>0</v>
      </c>
    </row>
    <row r="31" spans="3:8" ht="12.75" customHeight="1" x14ac:dyDescent="0.2">
      <c r="C31" s="80"/>
      <c r="D31" s="78" t="s">
        <v>1</v>
      </c>
      <c r="E31" s="30" t="s">
        <v>5</v>
      </c>
      <c r="F31" s="17">
        <f>H13</f>
        <v>0</v>
      </c>
      <c r="G31" s="40">
        <f>H30</f>
        <v>0</v>
      </c>
      <c r="H31" s="18">
        <f>G31*F31</f>
        <v>0</v>
      </c>
    </row>
    <row r="32" spans="3:8" ht="12.75" customHeight="1" x14ac:dyDescent="0.2">
      <c r="C32" s="154"/>
      <c r="D32" s="155" t="s">
        <v>169</v>
      </c>
      <c r="E32" s="156"/>
      <c r="F32" s="157"/>
      <c r="G32" s="158"/>
      <c r="H32" s="159">
        <f>H31</f>
        <v>0</v>
      </c>
    </row>
    <row r="33" spans="3:8" ht="13.5" thickBot="1" x14ac:dyDescent="0.25">
      <c r="C33" s="82"/>
      <c r="D33" s="101" t="s">
        <v>270</v>
      </c>
      <c r="E33" s="41"/>
      <c r="F33" s="42"/>
      <c r="G33" s="84"/>
      <c r="H33" s="141">
        <f>H32+H30</f>
        <v>0</v>
      </c>
    </row>
    <row r="34" spans="3:8" ht="12.75" customHeight="1" thickBot="1" x14ac:dyDescent="0.25">
      <c r="G34" s="5"/>
      <c r="H34" s="5"/>
    </row>
    <row r="35" spans="3:8" ht="12.75" customHeight="1" x14ac:dyDescent="0.2">
      <c r="C35" s="59">
        <v>2</v>
      </c>
      <c r="D35" s="64" t="s">
        <v>183</v>
      </c>
      <c r="E35" s="65" t="s">
        <v>3</v>
      </c>
      <c r="F35" s="66" t="s">
        <v>4</v>
      </c>
      <c r="G35" s="28" t="s">
        <v>215</v>
      </c>
      <c r="H35" s="67" t="s">
        <v>216</v>
      </c>
    </row>
    <row r="36" spans="3:8" ht="12.75" customHeight="1" x14ac:dyDescent="0.2">
      <c r="C36" s="83" t="s">
        <v>58</v>
      </c>
      <c r="D36" s="78" t="s">
        <v>184</v>
      </c>
      <c r="E36" s="30" t="s">
        <v>77</v>
      </c>
      <c r="F36" s="209"/>
      <c r="G36" s="211"/>
      <c r="H36" s="81">
        <f t="shared" ref="H36:H41" si="1">F36*G36</f>
        <v>0</v>
      </c>
    </row>
    <row r="37" spans="3:8" ht="12.75" customHeight="1" x14ac:dyDescent="0.2">
      <c r="C37" s="83" t="s">
        <v>59</v>
      </c>
      <c r="D37" s="78" t="s">
        <v>170</v>
      </c>
      <c r="E37" s="30" t="s">
        <v>5</v>
      </c>
      <c r="F37" s="209"/>
      <c r="G37" s="211"/>
      <c r="H37" s="81">
        <f t="shared" si="1"/>
        <v>0</v>
      </c>
    </row>
    <row r="38" spans="3:8" ht="12.75" customHeight="1" x14ac:dyDescent="0.2">
      <c r="C38" s="83" t="s">
        <v>29</v>
      </c>
      <c r="D38" s="78" t="s">
        <v>171</v>
      </c>
      <c r="E38" s="30" t="s">
        <v>77</v>
      </c>
      <c r="F38" s="209"/>
      <c r="G38" s="211"/>
      <c r="H38" s="81">
        <f t="shared" si="1"/>
        <v>0</v>
      </c>
    </row>
    <row r="39" spans="3:8" ht="12.75" customHeight="1" x14ac:dyDescent="0.2">
      <c r="C39" s="83" t="s">
        <v>60</v>
      </c>
      <c r="D39" s="78" t="s">
        <v>172</v>
      </c>
      <c r="E39" s="30" t="s">
        <v>77</v>
      </c>
      <c r="F39" s="209"/>
      <c r="G39" s="79"/>
      <c r="H39" s="81">
        <f t="shared" si="1"/>
        <v>0</v>
      </c>
    </row>
    <row r="40" spans="3:8" ht="12.75" customHeight="1" x14ac:dyDescent="0.2">
      <c r="C40" s="83" t="s">
        <v>61</v>
      </c>
      <c r="D40" s="78" t="s">
        <v>340</v>
      </c>
      <c r="E40" s="30" t="s">
        <v>77</v>
      </c>
      <c r="F40" s="209"/>
      <c r="G40" s="79"/>
      <c r="H40" s="81">
        <f t="shared" si="1"/>
        <v>0</v>
      </c>
    </row>
    <row r="41" spans="3:8" ht="12.75" customHeight="1" x14ac:dyDescent="0.2">
      <c r="C41" s="83" t="s">
        <v>62</v>
      </c>
      <c r="D41" s="78" t="s">
        <v>341</v>
      </c>
      <c r="E41" s="30" t="s">
        <v>77</v>
      </c>
      <c r="F41" s="209"/>
      <c r="G41" s="79"/>
      <c r="H41" s="81">
        <f t="shared" si="1"/>
        <v>0</v>
      </c>
    </row>
    <row r="42" spans="3:8" ht="12.75" customHeight="1" x14ac:dyDescent="0.2">
      <c r="C42" s="83" t="s">
        <v>107</v>
      </c>
      <c r="D42" s="78" t="s">
        <v>186</v>
      </c>
      <c r="E42" s="30" t="s">
        <v>77</v>
      </c>
      <c r="F42" s="209"/>
      <c r="G42" s="79"/>
      <c r="H42" s="81">
        <f>F42*G42</f>
        <v>0</v>
      </c>
    </row>
    <row r="43" spans="3:8" ht="12.75" customHeight="1" x14ac:dyDescent="0.2">
      <c r="C43" s="83" t="s">
        <v>108</v>
      </c>
      <c r="D43" s="78" t="s">
        <v>250</v>
      </c>
      <c r="E43" s="30" t="s">
        <v>5</v>
      </c>
      <c r="F43" s="209"/>
      <c r="G43" s="79"/>
      <c r="H43" s="81">
        <f>F43*G43</f>
        <v>0</v>
      </c>
    </row>
    <row r="44" spans="3:8" ht="12.75" customHeight="1" x14ac:dyDescent="0.2">
      <c r="C44" s="83" t="s">
        <v>109</v>
      </c>
      <c r="D44" s="78" t="s">
        <v>295</v>
      </c>
      <c r="E44" s="30" t="s">
        <v>77</v>
      </c>
      <c r="F44" s="209"/>
      <c r="G44" s="79"/>
      <c r="H44" s="81">
        <f t="shared" ref="H44:H46" si="2">F44*G44</f>
        <v>0</v>
      </c>
    </row>
    <row r="45" spans="3:8" ht="12.75" customHeight="1" x14ac:dyDescent="0.2">
      <c r="C45" s="83" t="s">
        <v>122</v>
      </c>
      <c r="D45" s="78" t="s">
        <v>295</v>
      </c>
      <c r="E45" s="30" t="s">
        <v>77</v>
      </c>
      <c r="F45" s="209"/>
      <c r="G45" s="79"/>
      <c r="H45" s="81">
        <f t="shared" si="2"/>
        <v>0</v>
      </c>
    </row>
    <row r="46" spans="3:8" ht="12.75" customHeight="1" x14ac:dyDescent="0.2">
      <c r="C46" s="83" t="s">
        <v>123</v>
      </c>
      <c r="D46" s="78" t="s">
        <v>188</v>
      </c>
      <c r="E46" s="30" t="s">
        <v>244</v>
      </c>
      <c r="F46" s="209"/>
      <c r="G46" s="79"/>
      <c r="H46" s="81">
        <f t="shared" si="2"/>
        <v>0</v>
      </c>
    </row>
    <row r="47" spans="3:8" ht="12.75" customHeight="1" x14ac:dyDescent="0.2">
      <c r="C47" s="83" t="s">
        <v>124</v>
      </c>
      <c r="D47" s="78" t="s">
        <v>173</v>
      </c>
      <c r="E47" s="30" t="s">
        <v>5</v>
      </c>
      <c r="F47" s="209"/>
      <c r="G47" s="79"/>
      <c r="H47" s="81">
        <f>F47*G47</f>
        <v>0</v>
      </c>
    </row>
    <row r="48" spans="3:8" ht="12.75" customHeight="1" x14ac:dyDescent="0.2">
      <c r="C48" s="83" t="s">
        <v>179</v>
      </c>
      <c r="D48" s="78" t="s">
        <v>189</v>
      </c>
      <c r="E48" s="30" t="s">
        <v>5</v>
      </c>
      <c r="F48" s="209"/>
      <c r="G48" s="79"/>
      <c r="H48" s="81">
        <f>F48*G48</f>
        <v>0</v>
      </c>
    </row>
    <row r="49" spans="3:8" ht="12.75" customHeight="1" x14ac:dyDescent="0.2">
      <c r="C49" s="83" t="s">
        <v>180</v>
      </c>
      <c r="D49" s="78"/>
      <c r="E49" s="30"/>
      <c r="F49" s="209"/>
      <c r="G49" s="79"/>
      <c r="H49" s="81">
        <f t="shared" ref="H49:H51" si="3">F49*G49</f>
        <v>0</v>
      </c>
    </row>
    <row r="50" spans="3:8" ht="12.75" customHeight="1" x14ac:dyDescent="0.2">
      <c r="C50" s="83" t="s">
        <v>181</v>
      </c>
      <c r="D50" s="78"/>
      <c r="E50" s="30"/>
      <c r="F50" s="209"/>
      <c r="G50" s="79"/>
      <c r="H50" s="81">
        <f t="shared" si="3"/>
        <v>0</v>
      </c>
    </row>
    <row r="51" spans="3:8" ht="12.75" customHeight="1" x14ac:dyDescent="0.2">
      <c r="C51" s="83" t="s">
        <v>248</v>
      </c>
      <c r="D51" s="78"/>
      <c r="E51" s="30"/>
      <c r="F51" s="209"/>
      <c r="G51" s="79"/>
      <c r="H51" s="81">
        <f t="shared" si="3"/>
        <v>0</v>
      </c>
    </row>
    <row r="52" spans="3:8" ht="12.75" customHeight="1" x14ac:dyDescent="0.2">
      <c r="C52" s="83" t="s">
        <v>282</v>
      </c>
      <c r="D52" s="78" t="s">
        <v>182</v>
      </c>
      <c r="E52" s="30" t="s">
        <v>5</v>
      </c>
      <c r="F52" s="209"/>
      <c r="G52" s="79"/>
      <c r="H52" s="81">
        <f>G52</f>
        <v>0</v>
      </c>
    </row>
    <row r="53" spans="3:8" ht="12.75" customHeight="1" x14ac:dyDescent="0.2">
      <c r="C53" s="154"/>
      <c r="D53" s="155" t="s">
        <v>249</v>
      </c>
      <c r="E53" s="156"/>
      <c r="F53" s="157"/>
      <c r="G53" s="158"/>
      <c r="H53" s="159">
        <f>SUM(H36:H52)</f>
        <v>0</v>
      </c>
    </row>
    <row r="54" spans="3:8" ht="12.75" customHeight="1" x14ac:dyDescent="0.2">
      <c r="C54" s="80"/>
      <c r="D54" s="78" t="s">
        <v>1</v>
      </c>
      <c r="E54" s="30" t="s">
        <v>5</v>
      </c>
      <c r="F54" s="17">
        <f>H13</f>
        <v>0</v>
      </c>
      <c r="G54" s="40">
        <f>H53</f>
        <v>0</v>
      </c>
      <c r="H54" s="18">
        <f>G54*F54</f>
        <v>0</v>
      </c>
    </row>
    <row r="55" spans="3:8" ht="12.75" customHeight="1" x14ac:dyDescent="0.2">
      <c r="C55" s="154"/>
      <c r="D55" s="155" t="s">
        <v>229</v>
      </c>
      <c r="E55" s="156"/>
      <c r="F55" s="157"/>
      <c r="G55" s="158"/>
      <c r="H55" s="159">
        <f>SUM(H54)</f>
        <v>0</v>
      </c>
    </row>
    <row r="56" spans="3:8" ht="12.75" customHeight="1" thickBot="1" x14ac:dyDescent="0.25">
      <c r="C56" s="82"/>
      <c r="D56" s="101" t="s">
        <v>296</v>
      </c>
      <c r="E56" s="41"/>
      <c r="F56" s="42"/>
      <c r="G56" s="84"/>
      <c r="H56" s="141">
        <f>H55+H53</f>
        <v>0</v>
      </c>
    </row>
    <row r="57" spans="3:8" ht="12.75" customHeight="1" thickBot="1" x14ac:dyDescent="0.25">
      <c r="D57" s="73"/>
      <c r="E57" s="76"/>
      <c r="F57" s="76"/>
      <c r="G57" s="74"/>
    </row>
    <row r="58" spans="3:8" ht="12.75" customHeight="1" x14ac:dyDescent="0.2">
      <c r="C58" s="59">
        <v>3</v>
      </c>
      <c r="D58" s="64" t="s">
        <v>192</v>
      </c>
      <c r="E58" s="65" t="s">
        <v>3</v>
      </c>
      <c r="F58" s="66" t="s">
        <v>4</v>
      </c>
      <c r="G58" s="28" t="s">
        <v>215</v>
      </c>
      <c r="H58" s="67" t="s">
        <v>216</v>
      </c>
    </row>
    <row r="59" spans="3:8" ht="12.75" customHeight="1" x14ac:dyDescent="0.2">
      <c r="C59" s="83" t="s">
        <v>34</v>
      </c>
      <c r="D59" s="78" t="s">
        <v>164</v>
      </c>
      <c r="E59" s="30" t="s">
        <v>3</v>
      </c>
      <c r="F59" s="209"/>
      <c r="G59" s="79"/>
      <c r="H59" s="81">
        <f>G59*F59</f>
        <v>0</v>
      </c>
    </row>
    <row r="60" spans="3:8" ht="12.75" customHeight="1" x14ac:dyDescent="0.2">
      <c r="C60" s="83" t="s">
        <v>35</v>
      </c>
      <c r="D60" s="78" t="s">
        <v>193</v>
      </c>
      <c r="E60" s="30" t="s">
        <v>77</v>
      </c>
      <c r="F60" s="209"/>
      <c r="G60" s="79"/>
      <c r="H60" s="81">
        <f t="shared" ref="H60:H67" si="4">G60*F60</f>
        <v>0</v>
      </c>
    </row>
    <row r="61" spans="3:8" ht="12.75" customHeight="1" x14ac:dyDescent="0.2">
      <c r="C61" s="83" t="s">
        <v>36</v>
      </c>
      <c r="D61" s="78" t="s">
        <v>194</v>
      </c>
      <c r="E61" s="30" t="s">
        <v>77</v>
      </c>
      <c r="F61" s="209"/>
      <c r="G61" s="79"/>
      <c r="H61" s="81">
        <f t="shared" si="4"/>
        <v>0</v>
      </c>
    </row>
    <row r="62" spans="3:8" ht="12.75" customHeight="1" x14ac:dyDescent="0.2">
      <c r="C62" s="83" t="s">
        <v>37</v>
      </c>
      <c r="D62" s="78" t="s">
        <v>195</v>
      </c>
      <c r="E62" s="30" t="s">
        <v>77</v>
      </c>
      <c r="F62" s="209"/>
      <c r="G62" s="79"/>
      <c r="H62" s="81">
        <f t="shared" si="4"/>
        <v>0</v>
      </c>
    </row>
    <row r="63" spans="3:8" ht="12.75" customHeight="1" x14ac:dyDescent="0.2">
      <c r="C63" s="83" t="s">
        <v>38</v>
      </c>
      <c r="D63" s="78" t="s">
        <v>196</v>
      </c>
      <c r="E63" s="6" t="s">
        <v>5</v>
      </c>
      <c r="F63" s="209"/>
      <c r="G63" s="79"/>
      <c r="H63" s="81">
        <f>G63*F63</f>
        <v>0</v>
      </c>
    </row>
    <row r="64" spans="3:8" ht="12.75" customHeight="1" x14ac:dyDescent="0.2">
      <c r="C64" s="83" t="s">
        <v>39</v>
      </c>
      <c r="D64" s="78" t="s">
        <v>197</v>
      </c>
      <c r="E64" s="6" t="s">
        <v>5</v>
      </c>
      <c r="F64" s="209"/>
      <c r="G64" s="79"/>
      <c r="H64" s="81">
        <f t="shared" si="4"/>
        <v>0</v>
      </c>
    </row>
    <row r="65" spans="3:11" ht="12.75" customHeight="1" x14ac:dyDescent="0.2">
      <c r="C65" s="83" t="s">
        <v>41</v>
      </c>
      <c r="D65" s="78"/>
      <c r="E65" s="30"/>
      <c r="F65" s="209"/>
      <c r="G65" s="79"/>
      <c r="H65" s="81">
        <f t="shared" si="4"/>
        <v>0</v>
      </c>
    </row>
    <row r="66" spans="3:11" ht="12.75" customHeight="1" x14ac:dyDescent="0.2">
      <c r="C66" s="83" t="s">
        <v>42</v>
      </c>
      <c r="D66" s="77"/>
      <c r="E66" s="77"/>
      <c r="F66" s="209"/>
      <c r="G66" s="79"/>
      <c r="H66" s="81">
        <f t="shared" si="4"/>
        <v>0</v>
      </c>
    </row>
    <row r="67" spans="3:11" ht="12.75" customHeight="1" x14ac:dyDescent="0.2">
      <c r="C67" s="83" t="s">
        <v>43</v>
      </c>
      <c r="D67" s="78"/>
      <c r="E67" s="30"/>
      <c r="F67" s="209"/>
      <c r="G67" s="79"/>
      <c r="H67" s="81">
        <f t="shared" si="4"/>
        <v>0</v>
      </c>
    </row>
    <row r="68" spans="3:11" ht="12.75" customHeight="1" x14ac:dyDescent="0.2">
      <c r="C68" s="154"/>
      <c r="D68" s="155" t="s">
        <v>191</v>
      </c>
      <c r="E68" s="156"/>
      <c r="F68" s="157"/>
      <c r="G68" s="158"/>
      <c r="H68" s="159">
        <f>SUM(H59:H67)</f>
        <v>0</v>
      </c>
    </row>
    <row r="69" spans="3:11" ht="12.75" customHeight="1" x14ac:dyDescent="0.2">
      <c r="C69" s="80"/>
      <c r="D69" s="78" t="s">
        <v>1</v>
      </c>
      <c r="E69" s="30"/>
      <c r="F69" s="17">
        <f>H13</f>
        <v>0</v>
      </c>
      <c r="G69" s="40">
        <f>H68</f>
        <v>0</v>
      </c>
      <c r="H69" s="18">
        <f>G69*F69</f>
        <v>0</v>
      </c>
    </row>
    <row r="70" spans="3:11" ht="12.75" customHeight="1" x14ac:dyDescent="0.2">
      <c r="C70" s="154"/>
      <c r="D70" s="155" t="s">
        <v>190</v>
      </c>
      <c r="E70" s="156"/>
      <c r="F70" s="157"/>
      <c r="G70" s="158"/>
      <c r="H70" s="159">
        <f>SUM(H69)</f>
        <v>0</v>
      </c>
    </row>
    <row r="71" spans="3:11" ht="12.75" customHeight="1" thickBot="1" x14ac:dyDescent="0.25">
      <c r="C71" s="142"/>
      <c r="D71" s="101" t="s">
        <v>297</v>
      </c>
      <c r="E71" s="21"/>
      <c r="F71" s="143"/>
      <c r="G71" s="144"/>
      <c r="H71" s="141">
        <f>H70+H68</f>
        <v>0</v>
      </c>
    </row>
    <row r="72" spans="3:11" ht="12.75" customHeight="1" thickBot="1" x14ac:dyDescent="0.25">
      <c r="D72" s="73"/>
      <c r="E72" s="76"/>
      <c r="F72" s="76"/>
      <c r="G72" s="74"/>
    </row>
    <row r="73" spans="3:11" x14ac:dyDescent="0.2">
      <c r="C73" s="286" t="s">
        <v>203</v>
      </c>
      <c r="D73" s="287"/>
      <c r="E73" s="287"/>
      <c r="F73" s="287"/>
      <c r="G73" s="287"/>
      <c r="H73" s="288"/>
    </row>
    <row r="74" spans="3:11" ht="15" hidden="1" x14ac:dyDescent="0.2">
      <c r="C74" s="92"/>
      <c r="D74" s="85" t="s">
        <v>204</v>
      </c>
      <c r="E74" s="90"/>
      <c r="F74" s="91"/>
      <c r="G74" s="86"/>
      <c r="H74" s="98">
        <f>SUM(F17:F28)</f>
        <v>0</v>
      </c>
    </row>
    <row r="75" spans="3:11" x14ac:dyDescent="0.2">
      <c r="C75" s="92"/>
      <c r="D75" s="87" t="s">
        <v>200</v>
      </c>
      <c r="E75" s="85"/>
      <c r="F75" s="88"/>
      <c r="G75" s="89"/>
      <c r="H75" s="182">
        <f>H30+H53+H68</f>
        <v>0</v>
      </c>
    </row>
    <row r="76" spans="3:11" x14ac:dyDescent="0.2">
      <c r="C76" s="96"/>
      <c r="D76" s="87" t="s">
        <v>201</v>
      </c>
      <c r="E76" s="85"/>
      <c r="F76" s="88"/>
      <c r="G76" s="89"/>
      <c r="H76" s="93">
        <f>H32+H55+H70</f>
        <v>0</v>
      </c>
    </row>
    <row r="77" spans="3:11" x14ac:dyDescent="0.2">
      <c r="C77" s="96"/>
      <c r="D77" s="87" t="s">
        <v>202</v>
      </c>
      <c r="E77" s="85"/>
      <c r="F77" s="88"/>
      <c r="G77" s="89"/>
      <c r="H77" s="93">
        <f>SUM(H75:H76)</f>
        <v>0</v>
      </c>
    </row>
    <row r="78" spans="3:11" x14ac:dyDescent="0.2">
      <c r="C78" s="193"/>
      <c r="D78" s="194" t="s">
        <v>317</v>
      </c>
      <c r="E78" s="195"/>
      <c r="F78" s="196"/>
      <c r="G78" s="197"/>
      <c r="H78" s="93">
        <f>IFERROR(H77/E13,0)</f>
        <v>0</v>
      </c>
    </row>
    <row r="79" spans="3:11" ht="15.75" thickBot="1" x14ac:dyDescent="0.3">
      <c r="C79" s="94"/>
      <c r="D79" s="99" t="s">
        <v>280</v>
      </c>
      <c r="E79" s="95"/>
      <c r="F79" s="95"/>
      <c r="G79" s="95"/>
      <c r="H79" s="146">
        <f>IFERROR(H77/E14/1000,0)</f>
        <v>0</v>
      </c>
      <c r="K79" s="188"/>
    </row>
    <row r="80" spans="3:11" ht="15" x14ac:dyDescent="0.25">
      <c r="C80" s="178"/>
      <c r="D80" s="179"/>
      <c r="E80" s="180"/>
      <c r="F80" s="180"/>
      <c r="G80" s="180"/>
      <c r="H80" s="181"/>
    </row>
    <row r="81" spans="8:8" x14ac:dyDescent="0.2">
      <c r="H81" s="4"/>
    </row>
  </sheetData>
  <mergeCells count="14">
    <mergeCell ref="E12:F12"/>
    <mergeCell ref="E14:F14"/>
    <mergeCell ref="C73:H73"/>
    <mergeCell ref="C2:H2"/>
    <mergeCell ref="C3:H3"/>
    <mergeCell ref="E6:F6"/>
    <mergeCell ref="E7:F7"/>
    <mergeCell ref="D5:F5"/>
    <mergeCell ref="E11:F11"/>
    <mergeCell ref="E8:F8"/>
    <mergeCell ref="E9:F9"/>
    <mergeCell ref="E10:F10"/>
    <mergeCell ref="E13:F13"/>
    <mergeCell ref="H9:H12"/>
  </mergeCells>
  <printOptions horizontalCentered="1" verticalCentered="1"/>
  <pageMargins left="0" right="0" top="0" bottom="0" header="0.31496062992125984" footer="0.31496062992125984"/>
  <pageSetup scale="35" orientation="portrait" r:id="rId1"/>
  <headerFooter>
    <oddHeader>&amp;C&amp;"Arial,Negrita"
&amp;F</oddHeader>
    <oddFooter>&amp;CFederación Nacional de productores de panela - Fedepanela
Programa Comercial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L86"/>
  <sheetViews>
    <sheetView showGridLines="0" view="pageBreakPreview" topLeftCell="A61" zoomScale="110" zoomScaleNormal="75" zoomScaleSheetLayoutView="110" workbookViewId="0">
      <selection activeCell="F64" sqref="F64:G68"/>
    </sheetView>
  </sheetViews>
  <sheetFormatPr baseColWidth="10" defaultColWidth="11.42578125" defaultRowHeight="12.75" x14ac:dyDescent="0.2"/>
  <cols>
    <col min="1" max="1" width="2.140625" style="4" customWidth="1"/>
    <col min="2" max="2" width="2.140625" style="5" customWidth="1"/>
    <col min="3" max="3" width="4.5703125" style="5" bestFit="1" customWidth="1"/>
    <col min="4" max="4" width="53.85546875" style="5" customWidth="1"/>
    <col min="5" max="5" width="17.5703125" style="5" bestFit="1" customWidth="1"/>
    <col min="6" max="6" width="14.85546875" style="5" customWidth="1"/>
    <col min="7" max="7" width="18.28515625" style="68" bestFit="1" customWidth="1"/>
    <col min="8" max="8" width="16.28515625" style="68" customWidth="1"/>
    <col min="9" max="9" width="2.85546875" style="5" customWidth="1"/>
    <col min="10" max="10" width="13.42578125" style="4" bestFit="1" customWidth="1"/>
    <col min="11" max="11" width="14.42578125" style="4" customWidth="1"/>
    <col min="12" max="12" width="11.42578125" style="4"/>
    <col min="13" max="13" width="0" style="4" hidden="1" customWidth="1"/>
    <col min="14" max="14" width="25.42578125" style="4" hidden="1" customWidth="1"/>
    <col min="15" max="27" width="0" style="4" hidden="1" customWidth="1"/>
    <col min="28" max="30" width="11.42578125" style="4"/>
    <col min="31" max="31" width="15.140625" style="4" customWidth="1"/>
    <col min="32" max="16384" width="11.42578125" style="4"/>
  </cols>
  <sheetData>
    <row r="1" spans="1:116" ht="12.75" customHeight="1" x14ac:dyDescent="0.2"/>
    <row r="2" spans="1:116" ht="12.75" customHeight="1" thickBot="1" x14ac:dyDescent="0.25"/>
    <row r="3" spans="1:116" ht="12.75" customHeight="1" x14ac:dyDescent="0.2">
      <c r="B3" s="69"/>
      <c r="C3" s="289" t="s">
        <v>255</v>
      </c>
      <c r="D3" s="290"/>
      <c r="E3" s="290"/>
      <c r="F3" s="290"/>
      <c r="G3" s="290"/>
      <c r="H3" s="291"/>
      <c r="I3" s="69"/>
    </row>
    <row r="4" spans="1:116" ht="12.75" customHeight="1" thickBot="1" x14ac:dyDescent="0.25">
      <c r="C4" s="292" t="s">
        <v>175</v>
      </c>
      <c r="D4" s="293"/>
      <c r="E4" s="293"/>
      <c r="F4" s="293"/>
      <c r="G4" s="293"/>
      <c r="H4" s="294"/>
    </row>
    <row r="5" spans="1:116" ht="12.75" customHeight="1" thickBot="1" x14ac:dyDescent="0.25">
      <c r="D5" s="70"/>
      <c r="E5" s="70"/>
      <c r="F5" s="4"/>
      <c r="G5" s="4"/>
      <c r="H5" s="4"/>
    </row>
    <row r="6" spans="1:116" ht="12.75" customHeight="1" thickBot="1" x14ac:dyDescent="0.25">
      <c r="A6" s="166"/>
      <c r="B6" s="4"/>
      <c r="C6" s="4"/>
      <c r="D6" s="310" t="s">
        <v>302</v>
      </c>
      <c r="E6" s="311"/>
      <c r="F6" s="312"/>
      <c r="G6" s="4"/>
      <c r="H6" s="4"/>
      <c r="I6" s="4"/>
    </row>
    <row r="7" spans="1:116" s="150" customFormat="1" ht="12.75" customHeight="1" x14ac:dyDescent="0.2">
      <c r="B7" s="153"/>
      <c r="C7" s="151"/>
      <c r="D7" s="161" t="s">
        <v>288</v>
      </c>
      <c r="E7" s="304"/>
      <c r="F7" s="305"/>
      <c r="G7" s="4"/>
      <c r="H7" s="4"/>
      <c r="I7" s="4"/>
      <c r="J7" s="4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  <c r="CT7" s="149"/>
      <c r="CU7" s="149"/>
      <c r="CV7" s="149"/>
      <c r="CW7" s="149"/>
      <c r="CX7" s="149"/>
      <c r="CY7" s="149"/>
      <c r="CZ7" s="149"/>
      <c r="DA7" s="149"/>
      <c r="DB7" s="149"/>
      <c r="DC7" s="149"/>
      <c r="DD7" s="149"/>
      <c r="DE7" s="149"/>
      <c r="DF7" s="149"/>
      <c r="DG7" s="149"/>
      <c r="DH7" s="149"/>
      <c r="DI7" s="149"/>
      <c r="DJ7" s="149"/>
      <c r="DK7" s="149"/>
      <c r="DL7" s="149"/>
    </row>
    <row r="8" spans="1:116" s="150" customFormat="1" ht="12.75" customHeight="1" thickBot="1" x14ac:dyDescent="0.25">
      <c r="B8" s="153"/>
      <c r="C8" s="151"/>
      <c r="D8" s="162" t="s">
        <v>289</v>
      </c>
      <c r="E8" s="306">
        <f>'Costos siembra nueva'!E7:F7</f>
        <v>0</v>
      </c>
      <c r="F8" s="307"/>
      <c r="G8" s="4"/>
      <c r="H8" s="4"/>
      <c r="I8" s="4"/>
      <c r="J8" s="4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9"/>
      <c r="CU8" s="149"/>
      <c r="CV8" s="149"/>
      <c r="CW8" s="149"/>
      <c r="CX8" s="149"/>
      <c r="CY8" s="149"/>
      <c r="CZ8" s="149"/>
      <c r="DA8" s="149"/>
      <c r="DB8" s="149"/>
      <c r="DC8" s="149"/>
      <c r="DD8" s="149"/>
      <c r="DE8" s="149"/>
      <c r="DF8" s="149"/>
      <c r="DG8" s="149"/>
      <c r="DH8" s="149"/>
      <c r="DI8" s="149"/>
      <c r="DJ8" s="149"/>
      <c r="DK8" s="149"/>
      <c r="DL8" s="149"/>
    </row>
    <row r="9" spans="1:116" s="150" customFormat="1" ht="12.75" customHeight="1" x14ac:dyDescent="0.2">
      <c r="B9" s="153"/>
      <c r="C9" s="151"/>
      <c r="D9" s="162" t="s">
        <v>290</v>
      </c>
      <c r="E9" s="306">
        <f>'Costos siembra nueva'!E8:F8</f>
        <v>0</v>
      </c>
      <c r="F9" s="307"/>
      <c r="G9" s="4"/>
      <c r="H9" s="302" t="s">
        <v>1</v>
      </c>
      <c r="I9" s="4"/>
      <c r="J9" s="4"/>
      <c r="K9" s="149" t="s">
        <v>287</v>
      </c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</row>
    <row r="10" spans="1:116" s="150" customFormat="1" ht="12.75" customHeight="1" x14ac:dyDescent="0.2">
      <c r="B10" s="153"/>
      <c r="C10" s="151"/>
      <c r="D10" s="162" t="s">
        <v>291</v>
      </c>
      <c r="E10" s="306">
        <f>'Costos siembra nueva'!E9:F9</f>
        <v>0</v>
      </c>
      <c r="F10" s="307"/>
      <c r="G10" s="4"/>
      <c r="H10" s="303"/>
      <c r="I10" s="4"/>
      <c r="J10" s="4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  <c r="CT10" s="149"/>
      <c r="CU10" s="149"/>
      <c r="CV10" s="149"/>
      <c r="CW10" s="149"/>
      <c r="CX10" s="149"/>
      <c r="CY10" s="149"/>
      <c r="CZ10" s="149"/>
      <c r="DA10" s="149"/>
      <c r="DB10" s="149"/>
      <c r="DC10" s="149"/>
      <c r="DD10" s="149"/>
      <c r="DE10" s="149"/>
      <c r="DF10" s="149"/>
      <c r="DG10" s="149"/>
      <c r="DH10" s="149"/>
      <c r="DI10" s="149"/>
      <c r="DJ10" s="149"/>
      <c r="DK10" s="149"/>
      <c r="DL10" s="149"/>
    </row>
    <row r="11" spans="1:116" s="150" customFormat="1" ht="12.75" customHeight="1" x14ac:dyDescent="0.2">
      <c r="B11" s="153"/>
      <c r="C11" s="151"/>
      <c r="D11" s="162" t="s">
        <v>292</v>
      </c>
      <c r="E11" s="306">
        <f>'Costos siembra nueva'!E10:F10</f>
        <v>0</v>
      </c>
      <c r="F11" s="307"/>
      <c r="G11" s="4"/>
      <c r="H11" s="303"/>
      <c r="I11" s="4"/>
      <c r="J11" s="4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  <c r="CT11" s="149"/>
      <c r="CU11" s="149"/>
      <c r="CV11" s="149"/>
      <c r="CW11" s="149"/>
      <c r="CX11" s="149"/>
      <c r="CY11" s="149"/>
      <c r="CZ11" s="149"/>
      <c r="DA11" s="149"/>
      <c r="DB11" s="149"/>
      <c r="DC11" s="149"/>
      <c r="DD11" s="149"/>
      <c r="DE11" s="149"/>
      <c r="DF11" s="149"/>
      <c r="DG11" s="149"/>
      <c r="DH11" s="149"/>
      <c r="DI11" s="149"/>
      <c r="DJ11" s="149"/>
      <c r="DK11" s="149"/>
      <c r="DL11" s="149"/>
    </row>
    <row r="12" spans="1:116" s="150" customFormat="1" ht="12.75" customHeight="1" x14ac:dyDescent="0.2">
      <c r="A12" s="152"/>
      <c r="B12" s="4"/>
      <c r="C12" s="4"/>
      <c r="D12" s="164" t="s">
        <v>303</v>
      </c>
      <c r="E12" s="306">
        <f>'Costos siembra nueva'!E11:F11</f>
        <v>0</v>
      </c>
      <c r="F12" s="307"/>
      <c r="G12" s="4"/>
      <c r="H12" s="303"/>
      <c r="I12" s="4"/>
      <c r="J12" s="4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  <c r="CT12" s="149"/>
      <c r="CU12" s="149"/>
      <c r="CV12" s="149"/>
      <c r="CW12" s="149"/>
      <c r="CX12" s="149"/>
      <c r="CY12" s="149"/>
      <c r="CZ12" s="149"/>
      <c r="DA12" s="149"/>
      <c r="DB12" s="149"/>
      <c r="DC12" s="149"/>
      <c r="DD12" s="149"/>
      <c r="DE12" s="149"/>
      <c r="DF12" s="149"/>
      <c r="DG12" s="149"/>
      <c r="DH12" s="149"/>
      <c r="DI12" s="149"/>
      <c r="DJ12" s="149"/>
      <c r="DK12" s="149"/>
      <c r="DL12" s="149"/>
    </row>
    <row r="13" spans="1:116" s="150" customFormat="1" ht="12.75" customHeight="1" thickBot="1" x14ac:dyDescent="0.25">
      <c r="B13" s="153"/>
      <c r="C13" s="151"/>
      <c r="D13" s="162" t="s">
        <v>293</v>
      </c>
      <c r="E13" s="306">
        <f>'Costos siembra nueva'!E12:F12</f>
        <v>0</v>
      </c>
      <c r="F13" s="307"/>
      <c r="G13" s="4"/>
      <c r="H13" s="210"/>
      <c r="I13" s="4"/>
      <c r="J13" s="4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  <c r="CT13" s="149"/>
      <c r="CU13" s="149"/>
      <c r="CV13" s="149"/>
      <c r="CW13" s="149"/>
      <c r="CX13" s="149"/>
      <c r="CY13" s="149"/>
      <c r="CZ13" s="149"/>
      <c r="DA13" s="149"/>
      <c r="DB13" s="149"/>
      <c r="DC13" s="149"/>
      <c r="DD13" s="149"/>
      <c r="DE13" s="149"/>
      <c r="DF13" s="149"/>
      <c r="DG13" s="149"/>
      <c r="DH13" s="149"/>
      <c r="DI13" s="149"/>
      <c r="DJ13" s="149"/>
      <c r="DK13" s="149"/>
      <c r="DL13" s="149"/>
    </row>
    <row r="14" spans="1:116" s="150" customFormat="1" ht="12.75" customHeight="1" thickBot="1" x14ac:dyDescent="0.25">
      <c r="A14" s="152"/>
      <c r="B14" s="152"/>
      <c r="C14" s="151"/>
      <c r="D14" s="165" t="s">
        <v>299</v>
      </c>
      <c r="E14" s="308"/>
      <c r="F14" s="309"/>
      <c r="G14" s="4"/>
      <c r="H14" s="4"/>
      <c r="I14" s="4"/>
      <c r="J14" s="4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  <c r="CT14" s="149"/>
      <c r="CU14" s="149"/>
      <c r="CV14" s="149"/>
      <c r="CW14" s="149"/>
      <c r="CX14" s="149"/>
      <c r="CY14" s="149"/>
      <c r="CZ14" s="149"/>
      <c r="DA14" s="149"/>
      <c r="DB14" s="149"/>
      <c r="DC14" s="149"/>
      <c r="DD14" s="149"/>
      <c r="DE14" s="149"/>
      <c r="DF14" s="149"/>
      <c r="DG14" s="149"/>
      <c r="DH14" s="149"/>
      <c r="DI14" s="149"/>
      <c r="DJ14" s="149"/>
      <c r="DK14" s="149"/>
      <c r="DL14" s="149"/>
    </row>
    <row r="15" spans="1:116" ht="12.75" customHeight="1" thickBot="1" x14ac:dyDescent="0.25">
      <c r="D15" s="70"/>
      <c r="E15" s="70"/>
      <c r="F15" s="70"/>
      <c r="G15" s="71"/>
      <c r="H15" s="72"/>
    </row>
    <row r="16" spans="1:116" ht="12.75" customHeight="1" x14ac:dyDescent="0.2">
      <c r="C16" s="59">
        <v>1</v>
      </c>
      <c r="D16" s="64" t="s">
        <v>13</v>
      </c>
      <c r="E16" s="65" t="s">
        <v>3</v>
      </c>
      <c r="F16" s="66" t="s">
        <v>4</v>
      </c>
      <c r="G16" s="28" t="s">
        <v>215</v>
      </c>
      <c r="H16" s="67" t="s">
        <v>216</v>
      </c>
    </row>
    <row r="17" spans="3:12" ht="12.75" customHeight="1" x14ac:dyDescent="0.2">
      <c r="C17" s="83" t="s">
        <v>15</v>
      </c>
      <c r="D17" s="78" t="s">
        <v>6</v>
      </c>
      <c r="E17" s="30" t="s">
        <v>14</v>
      </c>
      <c r="F17" s="209"/>
      <c r="G17" s="79"/>
      <c r="H17" s="81">
        <f>F17*G17</f>
        <v>0</v>
      </c>
      <c r="L17" s="75"/>
    </row>
    <row r="18" spans="3:12" ht="12.75" customHeight="1" x14ac:dyDescent="0.2">
      <c r="C18" s="83" t="s">
        <v>16</v>
      </c>
      <c r="D18" s="78" t="s">
        <v>343</v>
      </c>
      <c r="E18" s="30" t="s">
        <v>14</v>
      </c>
      <c r="F18" s="209"/>
      <c r="G18" s="79"/>
      <c r="H18" s="81">
        <f t="shared" ref="H18:H31" si="0">F18*G18</f>
        <v>0</v>
      </c>
      <c r="L18" s="75"/>
    </row>
    <row r="19" spans="3:12" ht="12.75" customHeight="1" x14ac:dyDescent="0.2">
      <c r="C19" s="83" t="s">
        <v>18</v>
      </c>
      <c r="D19" s="78" t="s">
        <v>342</v>
      </c>
      <c r="E19" s="30" t="s">
        <v>14</v>
      </c>
      <c r="F19" s="209"/>
      <c r="G19" s="79"/>
      <c r="H19" s="81">
        <f t="shared" si="0"/>
        <v>0</v>
      </c>
      <c r="L19" s="75"/>
    </row>
    <row r="20" spans="3:12" ht="12.75" customHeight="1" x14ac:dyDescent="0.2">
      <c r="C20" s="83" t="s">
        <v>19</v>
      </c>
      <c r="D20" s="78" t="s">
        <v>245</v>
      </c>
      <c r="E20" s="30" t="s">
        <v>14</v>
      </c>
      <c r="F20" s="209"/>
      <c r="G20" s="79"/>
      <c r="H20" s="81">
        <f t="shared" si="0"/>
        <v>0</v>
      </c>
      <c r="L20" s="75"/>
    </row>
    <row r="21" spans="3:12" ht="12.75" customHeight="1" x14ac:dyDescent="0.2">
      <c r="C21" s="83" t="s">
        <v>21</v>
      </c>
      <c r="D21" s="78" t="s">
        <v>346</v>
      </c>
      <c r="E21" s="30" t="s">
        <v>14</v>
      </c>
      <c r="F21" s="209"/>
      <c r="G21" s="79"/>
      <c r="H21" s="81">
        <f t="shared" ref="H21:H29" si="1">F21*G21</f>
        <v>0</v>
      </c>
      <c r="L21" s="75"/>
    </row>
    <row r="22" spans="3:12" ht="12.75" customHeight="1" x14ac:dyDescent="0.2">
      <c r="C22" s="83" t="s">
        <v>22</v>
      </c>
      <c r="D22" s="78" t="s">
        <v>7</v>
      </c>
      <c r="E22" s="30" t="s">
        <v>14</v>
      </c>
      <c r="F22" s="209"/>
      <c r="G22" s="79"/>
      <c r="H22" s="81">
        <f t="shared" si="1"/>
        <v>0</v>
      </c>
      <c r="L22" s="75"/>
    </row>
    <row r="23" spans="3:12" ht="12.75" customHeight="1" x14ac:dyDescent="0.2">
      <c r="C23" s="83" t="s">
        <v>23</v>
      </c>
      <c r="D23" s="78" t="s">
        <v>344</v>
      </c>
      <c r="E23" s="30" t="s">
        <v>14</v>
      </c>
      <c r="F23" s="209"/>
      <c r="G23" s="79"/>
      <c r="H23" s="81">
        <f t="shared" si="1"/>
        <v>0</v>
      </c>
      <c r="L23" s="75"/>
    </row>
    <row r="24" spans="3:12" ht="12.75" customHeight="1" x14ac:dyDescent="0.2">
      <c r="C24" s="83" t="s">
        <v>74</v>
      </c>
      <c r="D24" s="78" t="s">
        <v>345</v>
      </c>
      <c r="E24" s="30" t="s">
        <v>14</v>
      </c>
      <c r="F24" s="209"/>
      <c r="G24" s="79"/>
      <c r="H24" s="81">
        <f t="shared" si="1"/>
        <v>0</v>
      </c>
      <c r="L24" s="75"/>
    </row>
    <row r="25" spans="3:12" ht="12.75" customHeight="1" x14ac:dyDescent="0.2">
      <c r="C25" s="83" t="s">
        <v>54</v>
      </c>
      <c r="D25" s="78" t="s">
        <v>246</v>
      </c>
      <c r="E25" s="30" t="s">
        <v>14</v>
      </c>
      <c r="F25" s="209"/>
      <c r="G25" s="79"/>
      <c r="H25" s="81">
        <f t="shared" si="1"/>
        <v>0</v>
      </c>
      <c r="L25" s="75"/>
    </row>
    <row r="26" spans="3:12" ht="12.75" customHeight="1" x14ac:dyDescent="0.2">
      <c r="C26" s="83" t="s">
        <v>55</v>
      </c>
      <c r="D26" s="78" t="s">
        <v>8</v>
      </c>
      <c r="E26" s="30" t="s">
        <v>14</v>
      </c>
      <c r="F26" s="209"/>
      <c r="G26" s="79"/>
      <c r="H26" s="81">
        <f t="shared" si="1"/>
        <v>0</v>
      </c>
      <c r="L26" s="75"/>
    </row>
    <row r="27" spans="3:12" ht="12.75" customHeight="1" x14ac:dyDescent="0.2">
      <c r="C27" s="83" t="s">
        <v>26</v>
      </c>
      <c r="D27" s="78" t="s">
        <v>247</v>
      </c>
      <c r="E27" s="30" t="s">
        <v>14</v>
      </c>
      <c r="F27" s="209"/>
      <c r="G27" s="79"/>
      <c r="H27" s="81">
        <f t="shared" si="1"/>
        <v>0</v>
      </c>
      <c r="L27" s="75"/>
    </row>
    <row r="28" spans="3:12" ht="12.75" customHeight="1" x14ac:dyDescent="0.2">
      <c r="C28" s="83" t="s">
        <v>112</v>
      </c>
      <c r="D28" s="78"/>
      <c r="E28" s="30"/>
      <c r="F28" s="209"/>
      <c r="G28" s="79"/>
      <c r="H28" s="81">
        <f t="shared" si="1"/>
        <v>0</v>
      </c>
      <c r="L28" s="75"/>
    </row>
    <row r="29" spans="3:12" ht="12.75" customHeight="1" x14ac:dyDescent="0.2">
      <c r="C29" s="83" t="s">
        <v>113</v>
      </c>
      <c r="D29" s="78"/>
      <c r="E29" s="30"/>
      <c r="F29" s="209"/>
      <c r="G29" s="79"/>
      <c r="H29" s="81">
        <f t="shared" si="1"/>
        <v>0</v>
      </c>
      <c r="L29" s="75"/>
    </row>
    <row r="30" spans="3:12" ht="12.75" customHeight="1" x14ac:dyDescent="0.2">
      <c r="C30" s="83" t="s">
        <v>114</v>
      </c>
      <c r="D30" s="78"/>
      <c r="E30" s="30"/>
      <c r="F30" s="209"/>
      <c r="G30" s="79"/>
      <c r="H30" s="81">
        <f t="shared" si="0"/>
        <v>0</v>
      </c>
      <c r="L30" s="75"/>
    </row>
    <row r="31" spans="3:12" ht="12.75" customHeight="1" x14ac:dyDescent="0.2">
      <c r="C31" s="83" t="s">
        <v>115</v>
      </c>
      <c r="D31" s="78" t="s">
        <v>2</v>
      </c>
      <c r="E31" s="30" t="s">
        <v>5</v>
      </c>
      <c r="F31" s="209"/>
      <c r="G31" s="79"/>
      <c r="H31" s="81">
        <f t="shared" si="0"/>
        <v>0</v>
      </c>
      <c r="L31" s="75"/>
    </row>
    <row r="32" spans="3:12" ht="12.75" customHeight="1" x14ac:dyDescent="0.2">
      <c r="C32" s="154"/>
      <c r="D32" s="155" t="s">
        <v>168</v>
      </c>
      <c r="E32" s="156"/>
      <c r="F32" s="157"/>
      <c r="G32" s="158"/>
      <c r="H32" s="159">
        <f>SUM(H17:H31)</f>
        <v>0</v>
      </c>
      <c r="L32" s="75"/>
    </row>
    <row r="33" spans="3:14" ht="12.75" customHeight="1" x14ac:dyDescent="0.2">
      <c r="C33" s="80"/>
      <c r="D33" s="78" t="s">
        <v>1</v>
      </c>
      <c r="E33" s="30" t="s">
        <v>5</v>
      </c>
      <c r="F33" s="17">
        <f>H13</f>
        <v>0</v>
      </c>
      <c r="G33" s="40">
        <f>H32</f>
        <v>0</v>
      </c>
      <c r="H33" s="18">
        <f>G33*F33</f>
        <v>0</v>
      </c>
      <c r="L33" s="75"/>
    </row>
    <row r="34" spans="3:14" ht="12.75" customHeight="1" x14ac:dyDescent="0.2">
      <c r="C34" s="154"/>
      <c r="D34" s="155" t="s">
        <v>169</v>
      </c>
      <c r="E34" s="156"/>
      <c r="F34" s="157"/>
      <c r="G34" s="158"/>
      <c r="H34" s="159">
        <f>H33</f>
        <v>0</v>
      </c>
      <c r="L34" s="75"/>
    </row>
    <row r="35" spans="3:14" ht="13.5" thickBot="1" x14ac:dyDescent="0.25">
      <c r="C35" s="82"/>
      <c r="D35" s="101" t="s">
        <v>264</v>
      </c>
      <c r="E35" s="41"/>
      <c r="F35" s="42"/>
      <c r="G35" s="84"/>
      <c r="H35" s="141">
        <f>H34+H32</f>
        <v>0</v>
      </c>
      <c r="L35" s="75"/>
    </row>
    <row r="36" spans="3:14" ht="12.75" customHeight="1" thickBot="1" x14ac:dyDescent="0.25">
      <c r="G36" s="5"/>
      <c r="H36" s="5"/>
      <c r="L36" s="75"/>
    </row>
    <row r="37" spans="3:14" ht="12.75" customHeight="1" x14ac:dyDescent="0.2">
      <c r="C37" s="59">
        <v>2</v>
      </c>
      <c r="D37" s="64" t="s">
        <v>183</v>
      </c>
      <c r="E37" s="65" t="s">
        <v>3</v>
      </c>
      <c r="F37" s="66" t="s">
        <v>4</v>
      </c>
      <c r="G37" s="28" t="s">
        <v>215</v>
      </c>
      <c r="H37" s="67" t="s">
        <v>216</v>
      </c>
      <c r="L37" s="75"/>
      <c r="N37" s="75"/>
    </row>
    <row r="38" spans="3:14" ht="12.75" customHeight="1" x14ac:dyDescent="0.2">
      <c r="C38" s="83" t="s">
        <v>58</v>
      </c>
      <c r="D38" s="78" t="s">
        <v>184</v>
      </c>
      <c r="E38" s="30" t="s">
        <v>77</v>
      </c>
      <c r="F38" s="209"/>
      <c r="G38" s="79"/>
      <c r="H38" s="81">
        <f t="shared" ref="H38" si="2">F38*G38</f>
        <v>0</v>
      </c>
      <c r="L38" s="75"/>
    </row>
    <row r="39" spans="3:14" ht="12.75" customHeight="1" x14ac:dyDescent="0.2">
      <c r="C39" s="83" t="s">
        <v>59</v>
      </c>
      <c r="D39" s="78" t="s">
        <v>170</v>
      </c>
      <c r="E39" s="30" t="s">
        <v>5</v>
      </c>
      <c r="F39" s="209"/>
      <c r="G39" s="79"/>
      <c r="H39" s="81">
        <f t="shared" ref="H39:H57" si="3">F39*G39</f>
        <v>0</v>
      </c>
      <c r="L39" s="75"/>
    </row>
    <row r="40" spans="3:14" ht="12.75" customHeight="1" x14ac:dyDescent="0.2">
      <c r="C40" s="83" t="s">
        <v>29</v>
      </c>
      <c r="D40" s="78" t="s">
        <v>171</v>
      </c>
      <c r="E40" s="30" t="s">
        <v>77</v>
      </c>
      <c r="F40" s="209"/>
      <c r="G40" s="79"/>
      <c r="H40" s="81">
        <f t="shared" si="3"/>
        <v>0</v>
      </c>
      <c r="L40" s="75"/>
    </row>
    <row r="41" spans="3:14" ht="12.75" customHeight="1" x14ac:dyDescent="0.2">
      <c r="C41" s="83" t="s">
        <v>60</v>
      </c>
      <c r="D41" s="78" t="s">
        <v>185</v>
      </c>
      <c r="E41" s="30" t="s">
        <v>77</v>
      </c>
      <c r="F41" s="209"/>
      <c r="G41" s="79"/>
      <c r="H41" s="81">
        <f t="shared" si="3"/>
        <v>0</v>
      </c>
      <c r="L41" s="75"/>
    </row>
    <row r="42" spans="3:14" ht="12.75" customHeight="1" x14ac:dyDescent="0.2">
      <c r="C42" s="83" t="s">
        <v>61</v>
      </c>
      <c r="D42" s="78" t="s">
        <v>186</v>
      </c>
      <c r="E42" s="30" t="s">
        <v>77</v>
      </c>
      <c r="F42" s="209"/>
      <c r="G42" s="79"/>
      <c r="H42" s="81">
        <f t="shared" si="3"/>
        <v>0</v>
      </c>
      <c r="L42" s="75"/>
    </row>
    <row r="43" spans="3:14" ht="12.75" customHeight="1" x14ac:dyDescent="0.2">
      <c r="C43" s="83" t="s">
        <v>62</v>
      </c>
      <c r="D43" s="78" t="s">
        <v>187</v>
      </c>
      <c r="E43" s="30" t="s">
        <v>77</v>
      </c>
      <c r="F43" s="209"/>
      <c r="G43" s="79"/>
      <c r="H43" s="81">
        <f t="shared" si="3"/>
        <v>0</v>
      </c>
      <c r="L43" s="75"/>
    </row>
    <row r="44" spans="3:14" ht="12.75" customHeight="1" x14ac:dyDescent="0.2">
      <c r="C44" s="83" t="s">
        <v>107</v>
      </c>
      <c r="D44" s="78" t="s">
        <v>250</v>
      </c>
      <c r="E44" s="30" t="s">
        <v>77</v>
      </c>
      <c r="F44" s="209"/>
      <c r="G44" s="79"/>
      <c r="H44" s="81">
        <f t="shared" si="3"/>
        <v>0</v>
      </c>
      <c r="L44" s="75"/>
    </row>
    <row r="45" spans="3:14" ht="12.75" customHeight="1" x14ac:dyDescent="0.2">
      <c r="C45" s="83" t="s">
        <v>108</v>
      </c>
      <c r="D45" s="78" t="s">
        <v>276</v>
      </c>
      <c r="E45" s="30" t="s">
        <v>134</v>
      </c>
      <c r="F45" s="209"/>
      <c r="G45" s="79"/>
      <c r="H45" s="81">
        <f t="shared" si="3"/>
        <v>0</v>
      </c>
      <c r="L45" s="75"/>
    </row>
    <row r="46" spans="3:14" ht="12.75" customHeight="1" x14ac:dyDescent="0.2">
      <c r="C46" s="83" t="s">
        <v>109</v>
      </c>
      <c r="D46" s="78" t="s">
        <v>277</v>
      </c>
      <c r="E46" s="30" t="s">
        <v>134</v>
      </c>
      <c r="F46" s="209"/>
      <c r="G46" s="79"/>
      <c r="H46" s="81">
        <f t="shared" si="3"/>
        <v>0</v>
      </c>
      <c r="L46" s="75"/>
    </row>
    <row r="47" spans="3:14" ht="12.75" customHeight="1" x14ac:dyDescent="0.2">
      <c r="C47" s="83" t="s">
        <v>122</v>
      </c>
      <c r="D47" s="78" t="s">
        <v>285</v>
      </c>
      <c r="E47" s="30" t="s">
        <v>77</v>
      </c>
      <c r="F47" s="209"/>
      <c r="G47" s="79"/>
      <c r="H47" s="81">
        <f t="shared" si="3"/>
        <v>0</v>
      </c>
      <c r="L47" s="75"/>
    </row>
    <row r="48" spans="3:14" ht="12.75" customHeight="1" x14ac:dyDescent="0.2">
      <c r="C48" s="83" t="s">
        <v>123</v>
      </c>
      <c r="D48" s="78" t="s">
        <v>284</v>
      </c>
      <c r="E48" s="30" t="s">
        <v>77</v>
      </c>
      <c r="F48" s="209"/>
      <c r="G48" s="79"/>
      <c r="H48" s="81">
        <f t="shared" si="3"/>
        <v>0</v>
      </c>
      <c r="L48" s="75"/>
    </row>
    <row r="49" spans="3:12" ht="12.75" customHeight="1" x14ac:dyDescent="0.2">
      <c r="C49" s="83" t="s">
        <v>124</v>
      </c>
      <c r="D49" s="78" t="s">
        <v>276</v>
      </c>
      <c r="E49" s="30" t="s">
        <v>77</v>
      </c>
      <c r="F49" s="209"/>
      <c r="G49" s="79"/>
      <c r="H49" s="81">
        <f t="shared" si="3"/>
        <v>0</v>
      </c>
      <c r="L49" s="75"/>
    </row>
    <row r="50" spans="3:12" ht="12.75" customHeight="1" x14ac:dyDescent="0.2">
      <c r="C50" s="83" t="s">
        <v>179</v>
      </c>
      <c r="D50" s="78" t="s">
        <v>277</v>
      </c>
      <c r="E50" s="30" t="s">
        <v>77</v>
      </c>
      <c r="F50" s="209"/>
      <c r="G50" s="79"/>
      <c r="H50" s="81">
        <f t="shared" si="3"/>
        <v>0</v>
      </c>
      <c r="L50" s="75"/>
    </row>
    <row r="51" spans="3:12" ht="12.75" customHeight="1" x14ac:dyDescent="0.2">
      <c r="C51" s="83" t="s">
        <v>180</v>
      </c>
      <c r="D51" s="78" t="s">
        <v>314</v>
      </c>
      <c r="E51" s="30" t="s">
        <v>251</v>
      </c>
      <c r="F51" s="209"/>
      <c r="G51" s="79"/>
      <c r="H51" s="81">
        <f t="shared" si="3"/>
        <v>0</v>
      </c>
      <c r="L51" s="75"/>
    </row>
    <row r="52" spans="3:12" ht="12.75" customHeight="1" x14ac:dyDescent="0.2">
      <c r="C52" s="83" t="s">
        <v>181</v>
      </c>
      <c r="D52" s="78" t="s">
        <v>173</v>
      </c>
      <c r="E52" s="30" t="s">
        <v>5</v>
      </c>
      <c r="F52" s="209"/>
      <c r="G52" s="79"/>
      <c r="H52" s="81">
        <f t="shared" si="3"/>
        <v>0</v>
      </c>
      <c r="L52" s="75"/>
    </row>
    <row r="53" spans="3:12" ht="12.75" customHeight="1" x14ac:dyDescent="0.2">
      <c r="C53" s="83" t="s">
        <v>248</v>
      </c>
      <c r="D53" s="78" t="s">
        <v>172</v>
      </c>
      <c r="E53" s="30" t="s">
        <v>77</v>
      </c>
      <c r="F53" s="209"/>
      <c r="G53" s="79"/>
      <c r="H53" s="81">
        <f t="shared" si="3"/>
        <v>0</v>
      </c>
      <c r="L53" s="75"/>
    </row>
    <row r="54" spans="3:12" ht="12.75" customHeight="1" x14ac:dyDescent="0.2">
      <c r="C54" s="83" t="s">
        <v>282</v>
      </c>
      <c r="D54" s="78"/>
      <c r="E54" s="30"/>
      <c r="F54" s="209"/>
      <c r="G54" s="79"/>
      <c r="H54" s="81">
        <f t="shared" si="3"/>
        <v>0</v>
      </c>
      <c r="L54" s="75"/>
    </row>
    <row r="55" spans="3:12" ht="12.75" customHeight="1" x14ac:dyDescent="0.2">
      <c r="C55" s="83" t="s">
        <v>283</v>
      </c>
      <c r="D55" s="78"/>
      <c r="E55" s="30"/>
      <c r="F55" s="209"/>
      <c r="G55" s="79"/>
      <c r="H55" s="81">
        <f t="shared" si="3"/>
        <v>0</v>
      </c>
      <c r="L55" s="75"/>
    </row>
    <row r="56" spans="3:12" ht="12.75" customHeight="1" x14ac:dyDescent="0.2">
      <c r="C56" s="83" t="s">
        <v>332</v>
      </c>
      <c r="D56" s="78"/>
      <c r="E56" s="30"/>
      <c r="F56" s="209"/>
      <c r="G56" s="79"/>
      <c r="H56" s="81">
        <f t="shared" si="3"/>
        <v>0</v>
      </c>
      <c r="L56" s="75"/>
    </row>
    <row r="57" spans="3:12" ht="12.75" customHeight="1" x14ac:dyDescent="0.2">
      <c r="C57" s="83" t="s">
        <v>333</v>
      </c>
      <c r="D57" s="78" t="s">
        <v>182</v>
      </c>
      <c r="E57" s="30" t="s">
        <v>5</v>
      </c>
      <c r="F57" s="209"/>
      <c r="G57" s="79"/>
      <c r="H57" s="81">
        <f t="shared" si="3"/>
        <v>0</v>
      </c>
      <c r="L57" s="75"/>
    </row>
    <row r="58" spans="3:12" ht="12.75" customHeight="1" x14ac:dyDescent="0.2">
      <c r="C58" s="154"/>
      <c r="D58" s="155" t="s">
        <v>249</v>
      </c>
      <c r="E58" s="156"/>
      <c r="F58" s="157"/>
      <c r="G58" s="158"/>
      <c r="H58" s="159">
        <f>SUM(H38:H57)</f>
        <v>0</v>
      </c>
      <c r="L58" s="75"/>
    </row>
    <row r="59" spans="3:12" ht="12.75" customHeight="1" x14ac:dyDescent="0.2">
      <c r="C59" s="80"/>
      <c r="D59" s="78" t="s">
        <v>1</v>
      </c>
      <c r="E59" s="30" t="s">
        <v>5</v>
      </c>
      <c r="F59" s="199">
        <f>H13</f>
        <v>0</v>
      </c>
      <c r="G59" s="79">
        <f>H58</f>
        <v>0</v>
      </c>
      <c r="H59" s="81">
        <f>G59*F59</f>
        <v>0</v>
      </c>
      <c r="L59" s="75"/>
    </row>
    <row r="60" spans="3:12" ht="12.75" customHeight="1" x14ac:dyDescent="0.2">
      <c r="C60" s="154"/>
      <c r="D60" s="155" t="s">
        <v>229</v>
      </c>
      <c r="E60" s="156"/>
      <c r="F60" s="157"/>
      <c r="G60" s="158"/>
      <c r="H60" s="159">
        <f>SUM(H59)</f>
        <v>0</v>
      </c>
      <c r="L60" s="75"/>
    </row>
    <row r="61" spans="3:12" ht="12.75" customHeight="1" thickBot="1" x14ac:dyDescent="0.25">
      <c r="C61" s="82"/>
      <c r="D61" s="101" t="s">
        <v>228</v>
      </c>
      <c r="E61" s="41"/>
      <c r="F61" s="42"/>
      <c r="G61" s="84"/>
      <c r="H61" s="141">
        <f>H60+H58</f>
        <v>0</v>
      </c>
      <c r="L61" s="75"/>
    </row>
    <row r="62" spans="3:12" ht="12.75" customHeight="1" thickBot="1" x14ac:dyDescent="0.25">
      <c r="D62" s="73"/>
      <c r="E62" s="76"/>
      <c r="F62" s="76"/>
      <c r="G62" s="74"/>
      <c r="L62" s="75"/>
    </row>
    <row r="63" spans="3:12" ht="12.75" customHeight="1" x14ac:dyDescent="0.2">
      <c r="C63" s="59">
        <v>3</v>
      </c>
      <c r="D63" s="64" t="s">
        <v>192</v>
      </c>
      <c r="E63" s="65" t="s">
        <v>3</v>
      </c>
      <c r="F63" s="66" t="s">
        <v>4</v>
      </c>
      <c r="G63" s="28" t="s">
        <v>215</v>
      </c>
      <c r="H63" s="67" t="s">
        <v>216</v>
      </c>
      <c r="L63" s="75"/>
    </row>
    <row r="64" spans="3:12" ht="12.75" customHeight="1" x14ac:dyDescent="0.2">
      <c r="C64" s="83" t="s">
        <v>34</v>
      </c>
      <c r="D64" s="78" t="s">
        <v>193</v>
      </c>
      <c r="E64" s="30" t="s">
        <v>77</v>
      </c>
      <c r="F64" s="209"/>
      <c r="G64" s="79"/>
      <c r="H64" s="81">
        <f>G64*F64</f>
        <v>0</v>
      </c>
      <c r="L64" s="75"/>
    </row>
    <row r="65" spans="3:13" ht="12.75" customHeight="1" x14ac:dyDescent="0.2">
      <c r="C65" s="83" t="s">
        <v>35</v>
      </c>
      <c r="D65" s="78" t="s">
        <v>195</v>
      </c>
      <c r="E65" s="30" t="s">
        <v>77</v>
      </c>
      <c r="F65" s="209"/>
      <c r="G65" s="79"/>
      <c r="H65" s="81">
        <f t="shared" ref="H65:H70" si="4">G65*F65</f>
        <v>0</v>
      </c>
      <c r="L65" s="75"/>
    </row>
    <row r="66" spans="3:13" ht="12.75" customHeight="1" x14ac:dyDescent="0.2">
      <c r="C66" s="83" t="s">
        <v>36</v>
      </c>
      <c r="D66" s="78" t="s">
        <v>196</v>
      </c>
      <c r="E66" s="6" t="s">
        <v>5</v>
      </c>
      <c r="F66" s="209"/>
      <c r="G66" s="79"/>
      <c r="H66" s="81">
        <f t="shared" si="4"/>
        <v>0</v>
      </c>
      <c r="L66" s="75"/>
    </row>
    <row r="67" spans="3:13" ht="12.75" customHeight="1" x14ac:dyDescent="0.2">
      <c r="C67" s="83" t="s">
        <v>37</v>
      </c>
      <c r="D67" s="78" t="s">
        <v>197</v>
      </c>
      <c r="E67" s="6" t="s">
        <v>5</v>
      </c>
      <c r="F67" s="209"/>
      <c r="G67" s="79"/>
      <c r="H67" s="81">
        <f t="shared" si="4"/>
        <v>0</v>
      </c>
      <c r="L67" s="75"/>
    </row>
    <row r="68" spans="3:13" ht="12.75" customHeight="1" x14ac:dyDescent="0.2">
      <c r="C68" s="83" t="s">
        <v>38</v>
      </c>
      <c r="D68" s="78"/>
      <c r="E68" s="6"/>
      <c r="F68" s="209"/>
      <c r="G68" s="79"/>
      <c r="H68" s="81">
        <f t="shared" si="4"/>
        <v>0</v>
      </c>
      <c r="L68" s="75"/>
    </row>
    <row r="69" spans="3:13" ht="12.75" customHeight="1" x14ac:dyDescent="0.2">
      <c r="C69" s="83" t="s">
        <v>39</v>
      </c>
      <c r="D69" s="78"/>
      <c r="E69" s="6"/>
      <c r="F69" s="209"/>
      <c r="G69" s="79"/>
      <c r="H69" s="81">
        <f t="shared" si="4"/>
        <v>0</v>
      </c>
      <c r="L69" s="75"/>
      <c r="M69" s="75"/>
    </row>
    <row r="70" spans="3:13" ht="12.75" customHeight="1" x14ac:dyDescent="0.2">
      <c r="C70" s="83" t="s">
        <v>41</v>
      </c>
      <c r="D70" s="78"/>
      <c r="E70" s="30"/>
      <c r="F70" s="209"/>
      <c r="G70" s="79"/>
      <c r="H70" s="81">
        <f t="shared" si="4"/>
        <v>0</v>
      </c>
      <c r="L70" s="75"/>
    </row>
    <row r="71" spans="3:13" ht="12.75" customHeight="1" x14ac:dyDescent="0.2">
      <c r="C71" s="154"/>
      <c r="D71" s="155" t="s">
        <v>191</v>
      </c>
      <c r="E71" s="156"/>
      <c r="F71" s="157"/>
      <c r="G71" s="158"/>
      <c r="H71" s="159">
        <f>SUM(H64:H70)</f>
        <v>0</v>
      </c>
      <c r="L71" s="75"/>
    </row>
    <row r="72" spans="3:13" ht="12.75" customHeight="1" x14ac:dyDescent="0.2">
      <c r="C72" s="80"/>
      <c r="D72" s="78" t="s">
        <v>1</v>
      </c>
      <c r="E72" s="30"/>
      <c r="F72" s="199">
        <f>+H13</f>
        <v>0</v>
      </c>
      <c r="G72" s="79">
        <f>H71</f>
        <v>0</v>
      </c>
      <c r="H72" s="81">
        <f>G72*F72</f>
        <v>0</v>
      </c>
      <c r="L72" s="75"/>
    </row>
    <row r="73" spans="3:13" ht="12.75" customHeight="1" x14ac:dyDescent="0.2">
      <c r="C73" s="154"/>
      <c r="D73" s="155" t="s">
        <v>190</v>
      </c>
      <c r="E73" s="156"/>
      <c r="F73" s="157"/>
      <c r="G73" s="158"/>
      <c r="H73" s="159">
        <f>SUM(H72)</f>
        <v>0</v>
      </c>
      <c r="L73" s="75"/>
    </row>
    <row r="74" spans="3:13" ht="13.5" thickBot="1" x14ac:dyDescent="0.25">
      <c r="C74" s="82"/>
      <c r="D74" s="101" t="s">
        <v>212</v>
      </c>
      <c r="E74" s="41"/>
      <c r="F74" s="42"/>
      <c r="G74" s="84"/>
      <c r="H74" s="141">
        <f>H73+H71</f>
        <v>0</v>
      </c>
    </row>
    <row r="75" spans="3:13" ht="13.5" thickBot="1" x14ac:dyDescent="0.25">
      <c r="D75" s="73"/>
      <c r="E75" s="76"/>
      <c r="F75" s="76"/>
      <c r="G75" s="74"/>
    </row>
    <row r="76" spans="3:13" x14ac:dyDescent="0.2">
      <c r="C76" s="286" t="s">
        <v>294</v>
      </c>
      <c r="D76" s="287"/>
      <c r="E76" s="287"/>
      <c r="F76" s="287"/>
      <c r="G76" s="287"/>
      <c r="H76" s="288"/>
    </row>
    <row r="77" spans="3:13" ht="15" hidden="1" x14ac:dyDescent="0.2">
      <c r="C77" s="92"/>
      <c r="D77" s="85" t="s">
        <v>205</v>
      </c>
      <c r="E77" s="90"/>
      <c r="F77" s="91"/>
      <c r="G77" s="86"/>
      <c r="H77" s="98">
        <f>SUM(F17:F30)</f>
        <v>0</v>
      </c>
    </row>
    <row r="78" spans="3:13" x14ac:dyDescent="0.2">
      <c r="C78" s="92"/>
      <c r="D78" s="87" t="s">
        <v>252</v>
      </c>
      <c r="E78" s="85"/>
      <c r="F78" s="88"/>
      <c r="G78" s="89"/>
      <c r="H78" s="93">
        <f>H32+H58+H71</f>
        <v>0</v>
      </c>
    </row>
    <row r="79" spans="3:13" x14ac:dyDescent="0.2">
      <c r="C79" s="96"/>
      <c r="D79" s="87" t="s">
        <v>253</v>
      </c>
      <c r="E79" s="85"/>
      <c r="F79" s="88"/>
      <c r="G79" s="89"/>
      <c r="H79" s="93">
        <f>H34+H60+H73</f>
        <v>0</v>
      </c>
    </row>
    <row r="80" spans="3:13" x14ac:dyDescent="0.2">
      <c r="C80" s="96"/>
      <c r="D80" s="87" t="s">
        <v>254</v>
      </c>
      <c r="E80" s="85"/>
      <c r="F80" s="88"/>
      <c r="G80" s="89"/>
      <c r="H80" s="93">
        <f>SUM(H78:H79)</f>
        <v>0</v>
      </c>
      <c r="K80" s="188">
        <f>+(H80+'Costos siembra nueva'!H78)/0.7-(H80+'Costos siembra nueva'!H78)</f>
        <v>0</v>
      </c>
    </row>
    <row r="81" spans="3:10" ht="15.75" thickBot="1" x14ac:dyDescent="0.3">
      <c r="C81" s="94"/>
      <c r="D81" s="99" t="s">
        <v>280</v>
      </c>
      <c r="E81" s="95"/>
      <c r="F81" s="95"/>
      <c r="G81" s="95"/>
      <c r="H81" s="146">
        <f>IFERROR(H80/E14/1000,0)</f>
        <v>0</v>
      </c>
    </row>
    <row r="85" spans="3:10" x14ac:dyDescent="0.2">
      <c r="J85" s="229"/>
    </row>
    <row r="86" spans="3:10" x14ac:dyDescent="0.2">
      <c r="J86" s="228"/>
    </row>
  </sheetData>
  <mergeCells count="13">
    <mergeCell ref="C3:H3"/>
    <mergeCell ref="C4:H4"/>
    <mergeCell ref="C76:H76"/>
    <mergeCell ref="E7:F7"/>
    <mergeCell ref="E8:F8"/>
    <mergeCell ref="E9:F9"/>
    <mergeCell ref="E10:F10"/>
    <mergeCell ref="E11:F11"/>
    <mergeCell ref="E13:F13"/>
    <mergeCell ref="E14:F14"/>
    <mergeCell ref="D6:F6"/>
    <mergeCell ref="E12:F12"/>
    <mergeCell ref="H9:H12"/>
  </mergeCells>
  <phoneticPr fontId="17" type="noConversion"/>
  <printOptions horizontalCentered="1" verticalCentered="1"/>
  <pageMargins left="0" right="0" top="0" bottom="0" header="0.31496062992125984" footer="0.31496062992125984"/>
  <pageSetup scale="35" orientation="portrait" r:id="rId1"/>
  <headerFooter>
    <oddHeader>&amp;C&amp;"Arial,Negrita"
&amp;F</oddHeader>
    <oddFooter>&amp;CFederación Nacional de productores de panela - Fedepanela
Programa Comercial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M66"/>
  <sheetViews>
    <sheetView showGridLines="0" view="pageBreakPreview" topLeftCell="E46" zoomScaleNormal="25" zoomScaleSheetLayoutView="100" workbookViewId="0">
      <selection activeCell="D36" sqref="D36"/>
    </sheetView>
  </sheetViews>
  <sheetFormatPr baseColWidth="10" defaultColWidth="11.42578125" defaultRowHeight="15" x14ac:dyDescent="0.25"/>
  <cols>
    <col min="1" max="1" width="2.140625" style="4" customWidth="1"/>
    <col min="2" max="2" width="2.140625" style="5" customWidth="1"/>
    <col min="3" max="3" width="5.140625" style="102" customWidth="1"/>
    <col min="4" max="4" width="36" style="102" customWidth="1"/>
    <col min="5" max="5" width="8.85546875" style="102" customWidth="1"/>
    <col min="6" max="7" width="15.28515625" style="102" customWidth="1"/>
    <col min="8" max="8" width="16.28515625" style="102" bestFit="1" customWidth="1"/>
    <col min="9" max="9" width="1.85546875" style="102" customWidth="1"/>
    <col min="10" max="10" width="5.140625" style="102" customWidth="1"/>
    <col min="11" max="11" width="36" style="102" customWidth="1"/>
    <col min="12" max="12" width="8.85546875" style="102" customWidth="1"/>
    <col min="13" max="15" width="15.28515625" style="102" customWidth="1"/>
    <col min="16" max="16" width="2.85546875" style="102" customWidth="1"/>
    <col min="17" max="16384" width="11.42578125" style="102"/>
  </cols>
  <sheetData>
    <row r="1" spans="1:117" ht="15.75" thickBot="1" x14ac:dyDescent="0.3"/>
    <row r="2" spans="1:117" ht="16.5" thickBot="1" x14ac:dyDescent="0.3">
      <c r="C2" s="338" t="s">
        <v>243</v>
      </c>
      <c r="D2" s="339"/>
      <c r="E2" s="339"/>
      <c r="F2" s="339"/>
      <c r="G2" s="339"/>
      <c r="H2" s="340"/>
      <c r="J2" s="338" t="s">
        <v>243</v>
      </c>
      <c r="K2" s="339"/>
      <c r="L2" s="339"/>
      <c r="M2" s="339"/>
      <c r="N2" s="339"/>
      <c r="O2" s="340"/>
    </row>
    <row r="3" spans="1:117" ht="15.75" thickBot="1" x14ac:dyDescent="0.3">
      <c r="B3" s="69"/>
    </row>
    <row r="4" spans="1:117" ht="12.75" customHeight="1" thickBot="1" x14ac:dyDescent="0.3">
      <c r="D4" s="310" t="s">
        <v>302</v>
      </c>
      <c r="E4" s="311"/>
      <c r="F4" s="311"/>
      <c r="G4" s="321"/>
    </row>
    <row r="5" spans="1:117" s="150" customFormat="1" ht="12.75" customHeight="1" x14ac:dyDescent="0.25">
      <c r="A5" s="4"/>
      <c r="B5" s="5"/>
      <c r="C5" s="152"/>
      <c r="D5" s="324" t="s">
        <v>288</v>
      </c>
      <c r="E5" s="325"/>
      <c r="F5" s="348"/>
      <c r="G5" s="349"/>
      <c r="H5" s="102"/>
      <c r="I5" s="102"/>
      <c r="J5" s="102"/>
      <c r="K5" s="4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  <c r="CT5" s="149"/>
      <c r="CU5" s="149"/>
      <c r="CV5" s="149"/>
      <c r="CW5" s="149"/>
      <c r="CX5" s="149"/>
      <c r="CY5" s="149"/>
      <c r="CZ5" s="149"/>
      <c r="DA5" s="149"/>
      <c r="DB5" s="149"/>
      <c r="DC5" s="149"/>
      <c r="DD5" s="149"/>
      <c r="DE5" s="149"/>
      <c r="DF5" s="149"/>
      <c r="DG5" s="149"/>
      <c r="DH5" s="149"/>
      <c r="DI5" s="149"/>
      <c r="DJ5" s="149"/>
      <c r="DK5" s="149"/>
      <c r="DL5" s="149"/>
      <c r="DM5" s="149"/>
    </row>
    <row r="6" spans="1:117" s="150" customFormat="1" ht="12.75" customHeight="1" x14ac:dyDescent="0.25">
      <c r="A6" s="166"/>
      <c r="B6" s="4"/>
      <c r="C6" s="152"/>
      <c r="D6" s="326" t="s">
        <v>289</v>
      </c>
      <c r="E6" s="327"/>
      <c r="F6" s="322">
        <f>'Costos siembra nueva'!E7</f>
        <v>0</v>
      </c>
      <c r="G6" s="323"/>
      <c r="H6" s="102"/>
      <c r="I6" s="102"/>
      <c r="J6" s="102"/>
      <c r="K6" s="4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49"/>
      <c r="CY6" s="149"/>
      <c r="CZ6" s="149"/>
      <c r="DA6" s="149"/>
      <c r="DB6" s="149"/>
      <c r="DC6" s="149"/>
      <c r="DD6" s="149"/>
      <c r="DE6" s="149"/>
      <c r="DF6" s="149"/>
      <c r="DG6" s="149"/>
      <c r="DH6" s="149"/>
      <c r="DI6" s="149"/>
      <c r="DJ6" s="149"/>
      <c r="DK6" s="149"/>
      <c r="DL6" s="149"/>
      <c r="DM6" s="149"/>
    </row>
    <row r="7" spans="1:117" s="150" customFormat="1" ht="12.75" customHeight="1" x14ac:dyDescent="0.25">
      <c r="B7" s="153"/>
      <c r="C7" s="152"/>
      <c r="D7" s="326" t="s">
        <v>290</v>
      </c>
      <c r="E7" s="327"/>
      <c r="F7" s="322">
        <f>'Costos siembra nueva'!E8</f>
        <v>0</v>
      </c>
      <c r="G7" s="323"/>
      <c r="H7" s="102"/>
      <c r="I7" s="102"/>
      <c r="J7" s="102"/>
      <c r="K7" s="4"/>
      <c r="L7" s="149" t="s">
        <v>287</v>
      </c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  <c r="CT7" s="149"/>
      <c r="CU7" s="149"/>
      <c r="CV7" s="149"/>
      <c r="CW7" s="149"/>
      <c r="CX7" s="149"/>
      <c r="CY7" s="149"/>
      <c r="CZ7" s="149"/>
      <c r="DA7" s="149"/>
      <c r="DB7" s="149"/>
      <c r="DC7" s="149"/>
      <c r="DD7" s="149"/>
      <c r="DE7" s="149"/>
      <c r="DF7" s="149"/>
      <c r="DG7" s="149"/>
      <c r="DH7" s="149"/>
      <c r="DI7" s="149"/>
      <c r="DJ7" s="149"/>
      <c r="DK7" s="149"/>
      <c r="DL7" s="149"/>
      <c r="DM7" s="149"/>
    </row>
    <row r="8" spans="1:117" s="150" customFormat="1" ht="12.75" customHeight="1" thickBot="1" x14ac:dyDescent="0.3">
      <c r="B8" s="153"/>
      <c r="C8" s="152"/>
      <c r="D8" s="326" t="s">
        <v>291</v>
      </c>
      <c r="E8" s="327"/>
      <c r="F8" s="322">
        <f>'Costos siembra nueva'!E9</f>
        <v>0</v>
      </c>
      <c r="G8" s="323"/>
      <c r="H8" s="102"/>
      <c r="I8" s="102"/>
      <c r="J8" s="102"/>
      <c r="K8" s="4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9"/>
      <c r="CU8" s="149"/>
      <c r="CV8" s="149"/>
      <c r="CW8" s="149"/>
      <c r="CX8" s="149"/>
      <c r="CY8" s="149"/>
      <c r="CZ8" s="149"/>
      <c r="DA8" s="149"/>
      <c r="DB8" s="149"/>
      <c r="DC8" s="149"/>
      <c r="DD8" s="149"/>
      <c r="DE8" s="149"/>
      <c r="DF8" s="149"/>
      <c r="DG8" s="149"/>
      <c r="DH8" s="149"/>
      <c r="DI8" s="149"/>
      <c r="DJ8" s="149"/>
      <c r="DK8" s="149"/>
      <c r="DL8" s="149"/>
      <c r="DM8" s="149"/>
    </row>
    <row r="9" spans="1:117" s="150" customFormat="1" ht="12.75" customHeight="1" x14ac:dyDescent="0.25">
      <c r="B9" s="153"/>
      <c r="C9" s="152"/>
      <c r="D9" s="326" t="s">
        <v>292</v>
      </c>
      <c r="E9" s="327"/>
      <c r="F9" s="322">
        <f>'Costos siembra nueva'!E10</f>
        <v>0</v>
      </c>
      <c r="G9" s="323"/>
      <c r="H9" s="302" t="s">
        <v>1</v>
      </c>
      <c r="I9" s="102"/>
      <c r="J9" s="102"/>
      <c r="K9" s="4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  <c r="DM9" s="149"/>
    </row>
    <row r="10" spans="1:117" s="150" customFormat="1" ht="12.75" customHeight="1" x14ac:dyDescent="0.2">
      <c r="B10" s="153"/>
      <c r="C10"/>
      <c r="D10" s="326" t="s">
        <v>303</v>
      </c>
      <c r="E10" s="327"/>
      <c r="F10" s="322">
        <f>'Costos siembra nueva'!E11</f>
        <v>0</v>
      </c>
      <c r="G10" s="323"/>
      <c r="H10" s="303"/>
      <c r="I10" s="4"/>
      <c r="J10" s="4"/>
      <c r="K10" s="4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  <c r="CT10" s="149"/>
      <c r="CU10" s="149"/>
      <c r="CV10" s="149"/>
      <c r="CW10" s="149"/>
      <c r="CX10" s="149"/>
      <c r="CY10" s="149"/>
      <c r="CZ10" s="149"/>
      <c r="DA10" s="149"/>
      <c r="DB10" s="149"/>
      <c r="DC10" s="149"/>
      <c r="DD10" s="149"/>
      <c r="DE10" s="149"/>
      <c r="DF10" s="149"/>
      <c r="DG10" s="149"/>
      <c r="DH10" s="149"/>
      <c r="DI10" s="149"/>
      <c r="DJ10" s="149"/>
      <c r="DK10" s="149"/>
      <c r="DL10" s="149"/>
      <c r="DM10" s="149"/>
    </row>
    <row r="11" spans="1:117" s="150" customFormat="1" ht="12.75" customHeight="1" x14ac:dyDescent="0.2">
      <c r="B11" s="153"/>
      <c r="C11" s="152"/>
      <c r="D11" s="326" t="s">
        <v>293</v>
      </c>
      <c r="E11" s="327"/>
      <c r="F11" s="322">
        <f>'Costos siembra nueva'!E12</f>
        <v>0</v>
      </c>
      <c r="G11" s="323"/>
      <c r="H11" s="303"/>
      <c r="I11" s="4"/>
      <c r="J11" s="4"/>
      <c r="K11" s="4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  <c r="CT11" s="149"/>
      <c r="CU11" s="149"/>
      <c r="CV11" s="149"/>
      <c r="CW11" s="149"/>
      <c r="CX11" s="149"/>
      <c r="CY11" s="149"/>
      <c r="CZ11" s="149"/>
      <c r="DA11" s="149"/>
      <c r="DB11" s="149"/>
      <c r="DC11" s="149"/>
      <c r="DD11" s="149"/>
      <c r="DE11" s="149"/>
      <c r="DF11" s="149"/>
      <c r="DG11" s="149"/>
      <c r="DH11" s="149"/>
      <c r="DI11" s="149"/>
      <c r="DJ11" s="149"/>
      <c r="DK11" s="149"/>
      <c r="DL11" s="149"/>
      <c r="DM11" s="149"/>
    </row>
    <row r="12" spans="1:117" s="150" customFormat="1" ht="12.75" customHeight="1" x14ac:dyDescent="0.25">
      <c r="A12" s="152"/>
      <c r="B12" s="4"/>
      <c r="C12" s="152"/>
      <c r="D12" s="344" t="s">
        <v>300</v>
      </c>
      <c r="E12" s="345"/>
      <c r="F12" s="330"/>
      <c r="G12" s="331"/>
      <c r="H12" s="303"/>
      <c r="I12" s="4"/>
      <c r="J12" s="4"/>
      <c r="K12" s="4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  <c r="CT12" s="149"/>
      <c r="CU12" s="149"/>
      <c r="CV12" s="149"/>
      <c r="CW12" s="149"/>
      <c r="CX12" s="149"/>
      <c r="CY12" s="149"/>
      <c r="CZ12" s="149"/>
      <c r="DA12" s="149"/>
      <c r="DB12" s="149"/>
      <c r="DC12" s="149"/>
      <c r="DD12" s="149"/>
      <c r="DE12" s="149"/>
      <c r="DF12" s="149"/>
      <c r="DG12" s="149"/>
      <c r="DH12" s="149"/>
      <c r="DI12" s="149"/>
      <c r="DJ12" s="149"/>
      <c r="DK12" s="149"/>
      <c r="DL12" s="149"/>
      <c r="DM12" s="149"/>
    </row>
    <row r="13" spans="1:117" s="149" customFormat="1" ht="12.75" customHeight="1" thickBot="1" x14ac:dyDescent="0.3">
      <c r="A13" s="150"/>
      <c r="B13" s="153"/>
      <c r="C13" s="152"/>
      <c r="D13" s="328" t="s">
        <v>326</v>
      </c>
      <c r="E13" s="329"/>
      <c r="F13" s="330" t="s">
        <v>335</v>
      </c>
      <c r="G13" s="331"/>
      <c r="H13" s="210"/>
      <c r="I13" s="4"/>
      <c r="J13" s="4"/>
      <c r="K13" s="226"/>
    </row>
    <row r="14" spans="1:117" s="149" customFormat="1" ht="12.75" customHeight="1" thickBot="1" x14ac:dyDescent="0.3">
      <c r="A14" s="152"/>
      <c r="B14" s="152"/>
      <c r="C14" s="152"/>
      <c r="D14" s="346" t="s">
        <v>301</v>
      </c>
      <c r="E14" s="347"/>
      <c r="F14" s="313"/>
      <c r="G14" s="314"/>
      <c r="H14" s="4"/>
      <c r="I14" s="4"/>
      <c r="J14" s="4"/>
      <c r="K14" s="4"/>
    </row>
    <row r="15" spans="1:117" s="149" customFormat="1" ht="12.75" customHeight="1" thickBot="1" x14ac:dyDescent="0.25">
      <c r="A15" s="4"/>
      <c r="B15" s="5"/>
      <c r="C15" s="152"/>
      <c r="D15" s="160"/>
      <c r="F15" s="4"/>
      <c r="G15" s="4"/>
      <c r="H15" s="4"/>
      <c r="I15" s="4"/>
      <c r="J15" s="4"/>
      <c r="K15" s="4"/>
    </row>
    <row r="16" spans="1:117" ht="12.75" customHeight="1" x14ac:dyDescent="0.25">
      <c r="C16" s="315" t="s">
        <v>242</v>
      </c>
      <c r="D16" s="316"/>
      <c r="E16" s="316"/>
      <c r="F16" s="316"/>
      <c r="G16" s="316"/>
      <c r="H16" s="317"/>
      <c r="J16" s="315" t="s">
        <v>241</v>
      </c>
      <c r="K16" s="316"/>
      <c r="L16" s="316"/>
      <c r="M16" s="316"/>
      <c r="N16" s="316"/>
      <c r="O16" s="317"/>
    </row>
    <row r="17" spans="3:15" ht="12.75" customHeight="1" thickBot="1" x14ac:dyDescent="0.3">
      <c r="C17" s="318"/>
      <c r="D17" s="319"/>
      <c r="E17" s="319"/>
      <c r="F17" s="319"/>
      <c r="G17" s="319"/>
      <c r="H17" s="320"/>
      <c r="J17" s="318"/>
      <c r="K17" s="319"/>
      <c r="L17" s="319"/>
      <c r="M17" s="319"/>
      <c r="N17" s="319"/>
      <c r="O17" s="320"/>
    </row>
    <row r="18" spans="3:15" ht="15.75" thickBot="1" x14ac:dyDescent="0.3"/>
    <row r="19" spans="3:15" x14ac:dyDescent="0.25">
      <c r="C19" s="134">
        <v>1</v>
      </c>
      <c r="D19" s="133" t="s">
        <v>13</v>
      </c>
      <c r="E19" s="132" t="s">
        <v>3</v>
      </c>
      <c r="F19" s="131" t="s">
        <v>4</v>
      </c>
      <c r="G19" s="130" t="s">
        <v>215</v>
      </c>
      <c r="H19" s="129" t="s">
        <v>216</v>
      </c>
      <c r="J19" s="134">
        <v>1</v>
      </c>
      <c r="K19" s="133" t="s">
        <v>13</v>
      </c>
      <c r="L19" s="132" t="s">
        <v>3</v>
      </c>
      <c r="M19" s="131" t="s">
        <v>4</v>
      </c>
      <c r="N19" s="130" t="s">
        <v>215</v>
      </c>
      <c r="O19" s="129" t="s">
        <v>216</v>
      </c>
    </row>
    <row r="20" spans="3:15" x14ac:dyDescent="0.25">
      <c r="C20" s="128" t="s">
        <v>15</v>
      </c>
      <c r="D20" s="126" t="s">
        <v>240</v>
      </c>
      <c r="E20" s="125" t="s">
        <v>14</v>
      </c>
      <c r="F20" s="209"/>
      <c r="G20" s="79"/>
      <c r="H20" s="81">
        <f t="shared" ref="H20:H28" si="0">G20*F20</f>
        <v>0</v>
      </c>
      <c r="J20" s="128" t="s">
        <v>15</v>
      </c>
      <c r="K20" s="126" t="s">
        <v>240</v>
      </c>
      <c r="L20" s="125" t="s">
        <v>14</v>
      </c>
      <c r="M20" s="209"/>
      <c r="N20" s="79"/>
      <c r="O20" s="81">
        <f t="shared" ref="O20:O28" si="1">N20*M20</f>
        <v>0</v>
      </c>
    </row>
    <row r="21" spans="3:15" x14ac:dyDescent="0.25">
      <c r="C21" s="128" t="s">
        <v>16</v>
      </c>
      <c r="D21" s="126" t="s">
        <v>348</v>
      </c>
      <c r="E21" s="125" t="s">
        <v>14</v>
      </c>
      <c r="F21" s="209"/>
      <c r="G21" s="79"/>
      <c r="H21" s="81">
        <f t="shared" si="0"/>
        <v>0</v>
      </c>
      <c r="J21" s="128" t="s">
        <v>16</v>
      </c>
      <c r="K21" s="126" t="s">
        <v>239</v>
      </c>
      <c r="L21" s="125" t="s">
        <v>14</v>
      </c>
      <c r="M21" s="209"/>
      <c r="N21" s="79"/>
      <c r="O21" s="81">
        <f t="shared" si="1"/>
        <v>0</v>
      </c>
    </row>
    <row r="22" spans="3:15" x14ac:dyDescent="0.25">
      <c r="C22" s="128" t="s">
        <v>18</v>
      </c>
      <c r="D22" s="126" t="s">
        <v>347</v>
      </c>
      <c r="E22" s="125" t="s">
        <v>14</v>
      </c>
      <c r="F22" s="209"/>
      <c r="G22" s="79"/>
      <c r="H22" s="81">
        <f t="shared" si="0"/>
        <v>0</v>
      </c>
      <c r="J22" s="128" t="s">
        <v>18</v>
      </c>
      <c r="K22" s="126" t="s">
        <v>238</v>
      </c>
      <c r="L22" s="125" t="s">
        <v>14</v>
      </c>
      <c r="M22" s="209"/>
      <c r="N22" s="79"/>
      <c r="O22" s="81">
        <f t="shared" si="1"/>
        <v>0</v>
      </c>
    </row>
    <row r="23" spans="3:15" x14ac:dyDescent="0.25">
      <c r="C23" s="128" t="s">
        <v>19</v>
      </c>
      <c r="D23" s="126" t="s">
        <v>237</v>
      </c>
      <c r="E23" s="125" t="s">
        <v>14</v>
      </c>
      <c r="F23" s="209"/>
      <c r="G23" s="79"/>
      <c r="H23" s="81">
        <f t="shared" si="0"/>
        <v>0</v>
      </c>
      <c r="J23" s="128" t="s">
        <v>19</v>
      </c>
      <c r="K23" s="126" t="s">
        <v>237</v>
      </c>
      <c r="L23" s="125" t="s">
        <v>14</v>
      </c>
      <c r="M23" s="209"/>
      <c r="N23" s="79"/>
      <c r="O23" s="81">
        <f t="shared" si="1"/>
        <v>0</v>
      </c>
    </row>
    <row r="24" spans="3:15" x14ac:dyDescent="0.25">
      <c r="C24" s="128" t="s">
        <v>21</v>
      </c>
      <c r="D24" s="126" t="s">
        <v>236</v>
      </c>
      <c r="E24" s="125" t="s">
        <v>14</v>
      </c>
      <c r="F24" s="209"/>
      <c r="G24" s="79"/>
      <c r="H24" s="81">
        <f t="shared" si="0"/>
        <v>0</v>
      </c>
      <c r="J24" s="128" t="s">
        <v>21</v>
      </c>
      <c r="K24" s="126" t="s">
        <v>236</v>
      </c>
      <c r="L24" s="125" t="s">
        <v>14</v>
      </c>
      <c r="M24" s="209"/>
      <c r="N24" s="79"/>
      <c r="O24" s="81">
        <f t="shared" si="1"/>
        <v>0</v>
      </c>
    </row>
    <row r="25" spans="3:15" x14ac:dyDescent="0.25">
      <c r="C25" s="128" t="s">
        <v>22</v>
      </c>
      <c r="D25" s="126"/>
      <c r="E25" s="125"/>
      <c r="F25" s="209"/>
      <c r="G25" s="79"/>
      <c r="H25" s="81">
        <f t="shared" si="0"/>
        <v>0</v>
      </c>
      <c r="J25" s="128" t="s">
        <v>22</v>
      </c>
      <c r="K25" s="126"/>
      <c r="L25" s="125"/>
      <c r="M25" s="209"/>
      <c r="N25" s="79"/>
      <c r="O25" s="81">
        <f t="shared" si="1"/>
        <v>0</v>
      </c>
    </row>
    <row r="26" spans="3:15" x14ac:dyDescent="0.25">
      <c r="C26" s="128" t="s">
        <v>23</v>
      </c>
      <c r="D26" s="126"/>
      <c r="E26" s="125"/>
      <c r="F26" s="209"/>
      <c r="G26" s="79"/>
      <c r="H26" s="81">
        <f t="shared" si="0"/>
        <v>0</v>
      </c>
      <c r="J26" s="128" t="s">
        <v>23</v>
      </c>
      <c r="K26" s="126"/>
      <c r="L26" s="125"/>
      <c r="M26" s="209"/>
      <c r="N26" s="79"/>
      <c r="O26" s="81">
        <f t="shared" si="1"/>
        <v>0</v>
      </c>
    </row>
    <row r="27" spans="3:15" x14ac:dyDescent="0.25">
      <c r="C27" s="128" t="s">
        <v>74</v>
      </c>
      <c r="D27" s="126"/>
      <c r="E27" s="125"/>
      <c r="F27" s="209"/>
      <c r="G27" s="79"/>
      <c r="H27" s="81">
        <f t="shared" si="0"/>
        <v>0</v>
      </c>
      <c r="J27" s="128" t="s">
        <v>74</v>
      </c>
      <c r="K27" s="126"/>
      <c r="L27" s="125"/>
      <c r="M27" s="209"/>
      <c r="N27" s="79"/>
      <c r="O27" s="81">
        <f t="shared" si="1"/>
        <v>0</v>
      </c>
    </row>
    <row r="28" spans="3:15" x14ac:dyDescent="0.25">
      <c r="C28" s="128" t="s">
        <v>54</v>
      </c>
      <c r="D28" s="126" t="s">
        <v>231</v>
      </c>
      <c r="E28" s="125" t="s">
        <v>5</v>
      </c>
      <c r="F28" s="209"/>
      <c r="G28" s="79"/>
      <c r="H28" s="81">
        <f t="shared" si="0"/>
        <v>0</v>
      </c>
      <c r="J28" s="128" t="s">
        <v>54</v>
      </c>
      <c r="K28" s="126" t="s">
        <v>231</v>
      </c>
      <c r="L28" s="125" t="s">
        <v>5</v>
      </c>
      <c r="M28" s="209"/>
      <c r="N28" s="79"/>
      <c r="O28" s="81">
        <f t="shared" si="1"/>
        <v>0</v>
      </c>
    </row>
    <row r="29" spans="3:15" x14ac:dyDescent="0.25">
      <c r="C29" s="154"/>
      <c r="D29" s="155" t="s">
        <v>235</v>
      </c>
      <c r="E29" s="156"/>
      <c r="F29" s="157"/>
      <c r="G29" s="158"/>
      <c r="H29" s="159">
        <f>SUM(H20:H28)</f>
        <v>0</v>
      </c>
      <c r="J29" s="154"/>
      <c r="K29" s="155" t="s">
        <v>235</v>
      </c>
      <c r="L29" s="156"/>
      <c r="M29" s="157"/>
      <c r="N29" s="158"/>
      <c r="O29" s="159">
        <f>SUM(O20:O28)</f>
        <v>0</v>
      </c>
    </row>
    <row r="30" spans="3:15" x14ac:dyDescent="0.25">
      <c r="C30" s="80"/>
      <c r="D30" s="78" t="s">
        <v>1</v>
      </c>
      <c r="E30" s="30"/>
      <c r="F30" s="17">
        <f>+H13</f>
        <v>0</v>
      </c>
      <c r="G30" s="40">
        <f>H29</f>
        <v>0</v>
      </c>
      <c r="H30" s="18">
        <f>G30*F30</f>
        <v>0</v>
      </c>
      <c r="J30" s="80"/>
      <c r="K30" s="78" t="s">
        <v>1</v>
      </c>
      <c r="L30" s="30"/>
      <c r="M30" s="191">
        <f>H13</f>
        <v>0</v>
      </c>
      <c r="N30" s="40">
        <f>O29</f>
        <v>0</v>
      </c>
      <c r="O30" s="18">
        <f>N30*M30</f>
        <v>0</v>
      </c>
    </row>
    <row r="31" spans="3:15" x14ac:dyDescent="0.25">
      <c r="C31" s="154"/>
      <c r="D31" s="155" t="s">
        <v>234</v>
      </c>
      <c r="E31" s="156"/>
      <c r="F31" s="157"/>
      <c r="G31" s="158"/>
      <c r="H31" s="159">
        <f>SUM(H30)</f>
        <v>0</v>
      </c>
      <c r="J31" s="154"/>
      <c r="K31" s="155" t="s">
        <v>234</v>
      </c>
      <c r="L31" s="156"/>
      <c r="M31" s="157"/>
      <c r="N31" s="158"/>
      <c r="O31" s="159">
        <f>SUM(O30)</f>
        <v>0</v>
      </c>
    </row>
    <row r="32" spans="3:15" ht="15.75" thickBot="1" x14ac:dyDescent="0.3">
      <c r="C32" s="124"/>
      <c r="D32" s="123" t="s">
        <v>265</v>
      </c>
      <c r="E32" s="122"/>
      <c r="F32" s="121"/>
      <c r="G32" s="120"/>
      <c r="H32" s="119">
        <f>H29+H31</f>
        <v>0</v>
      </c>
      <c r="J32" s="124"/>
      <c r="K32" s="123" t="s">
        <v>265</v>
      </c>
      <c r="L32" s="122"/>
      <c r="M32" s="121"/>
      <c r="N32" s="120"/>
      <c r="O32" s="119">
        <f>O29+O31</f>
        <v>0</v>
      </c>
    </row>
    <row r="33" spans="3:15" ht="15.75" thickBot="1" x14ac:dyDescent="0.3"/>
    <row r="34" spans="3:15" x14ac:dyDescent="0.25">
      <c r="C34" s="134">
        <v>2</v>
      </c>
      <c r="D34" s="133" t="s">
        <v>183</v>
      </c>
      <c r="E34" s="132" t="s">
        <v>3</v>
      </c>
      <c r="F34" s="131" t="s">
        <v>4</v>
      </c>
      <c r="G34" s="130" t="s">
        <v>215</v>
      </c>
      <c r="H34" s="129" t="s">
        <v>216</v>
      </c>
      <c r="J34" s="134">
        <v>2</v>
      </c>
      <c r="K34" s="133" t="s">
        <v>183</v>
      </c>
      <c r="L34" s="132" t="s">
        <v>3</v>
      </c>
      <c r="M34" s="131" t="s">
        <v>4</v>
      </c>
      <c r="N34" s="130" t="s">
        <v>215</v>
      </c>
      <c r="O34" s="129" t="s">
        <v>216</v>
      </c>
    </row>
    <row r="35" spans="3:15" x14ac:dyDescent="0.25">
      <c r="C35" s="128" t="s">
        <v>58</v>
      </c>
      <c r="D35" s="127" t="s">
        <v>233</v>
      </c>
      <c r="E35" s="125" t="s">
        <v>5</v>
      </c>
      <c r="F35" s="209"/>
      <c r="G35" s="79"/>
      <c r="H35" s="81">
        <f>G35*F35</f>
        <v>0</v>
      </c>
      <c r="J35" s="128" t="s">
        <v>58</v>
      </c>
      <c r="K35" s="127" t="s">
        <v>233</v>
      </c>
      <c r="L35" s="125" t="s">
        <v>5</v>
      </c>
      <c r="M35" s="209"/>
      <c r="N35" s="79"/>
      <c r="O35" s="81">
        <f>N35*M35</f>
        <v>0</v>
      </c>
    </row>
    <row r="36" spans="3:15" x14ac:dyDescent="0.25">
      <c r="C36" s="128" t="s">
        <v>59</v>
      </c>
      <c r="D36" s="127" t="s">
        <v>232</v>
      </c>
      <c r="E36" s="125" t="s">
        <v>5</v>
      </c>
      <c r="F36" s="209"/>
      <c r="G36" s="79"/>
      <c r="H36" s="81">
        <f>G36*F36</f>
        <v>0</v>
      </c>
      <c r="J36" s="128" t="s">
        <v>59</v>
      </c>
      <c r="K36" s="127" t="s">
        <v>232</v>
      </c>
      <c r="L36" s="125" t="s">
        <v>5</v>
      </c>
      <c r="M36" s="209"/>
      <c r="N36" s="79"/>
      <c r="O36" s="81">
        <f>N36*M36</f>
        <v>0</v>
      </c>
    </row>
    <row r="37" spans="3:15" x14ac:dyDescent="0.25">
      <c r="C37" s="128" t="s">
        <v>29</v>
      </c>
      <c r="D37" s="127"/>
      <c r="E37" s="125"/>
      <c r="F37" s="209"/>
      <c r="G37" s="79"/>
      <c r="H37" s="81">
        <f t="shared" ref="H37:H39" si="2">G37*F37</f>
        <v>0</v>
      </c>
      <c r="J37" s="128" t="s">
        <v>29</v>
      </c>
      <c r="K37" s="127"/>
      <c r="L37" s="125"/>
      <c r="M37" s="209"/>
      <c r="N37" s="79"/>
      <c r="O37" s="81">
        <f t="shared" ref="O37:O39" si="3">N37*M37</f>
        <v>0</v>
      </c>
    </row>
    <row r="38" spans="3:15" x14ac:dyDescent="0.25">
      <c r="C38" s="128" t="s">
        <v>60</v>
      </c>
      <c r="D38" s="127"/>
      <c r="E38" s="125"/>
      <c r="F38" s="209"/>
      <c r="G38" s="79"/>
      <c r="H38" s="81">
        <f t="shared" si="2"/>
        <v>0</v>
      </c>
      <c r="J38" s="128" t="s">
        <v>60</v>
      </c>
      <c r="K38" s="127"/>
      <c r="L38" s="125"/>
      <c r="M38" s="209"/>
      <c r="N38" s="79"/>
      <c r="O38" s="81">
        <f t="shared" si="3"/>
        <v>0</v>
      </c>
    </row>
    <row r="39" spans="3:15" x14ac:dyDescent="0.25">
      <c r="C39" s="128" t="s">
        <v>61</v>
      </c>
      <c r="D39" s="126" t="s">
        <v>231</v>
      </c>
      <c r="E39" s="125" t="s">
        <v>5</v>
      </c>
      <c r="F39" s="209"/>
      <c r="G39" s="79"/>
      <c r="H39" s="81">
        <f t="shared" si="2"/>
        <v>0</v>
      </c>
      <c r="J39" s="128" t="s">
        <v>61</v>
      </c>
      <c r="K39" s="126" t="s">
        <v>231</v>
      </c>
      <c r="L39" s="125" t="s">
        <v>5</v>
      </c>
      <c r="M39" s="209"/>
      <c r="N39" s="79"/>
      <c r="O39" s="81">
        <f t="shared" si="3"/>
        <v>0</v>
      </c>
    </row>
    <row r="40" spans="3:15" x14ac:dyDescent="0.25">
      <c r="C40" s="154"/>
      <c r="D40" s="155" t="s">
        <v>230</v>
      </c>
      <c r="E40" s="156"/>
      <c r="F40" s="157"/>
      <c r="G40" s="158"/>
      <c r="H40" s="159">
        <f>SUM(H35:H39)</f>
        <v>0</v>
      </c>
      <c r="J40" s="154"/>
      <c r="K40" s="155" t="s">
        <v>230</v>
      </c>
      <c r="L40" s="156"/>
      <c r="M40" s="157"/>
      <c r="N40" s="158"/>
      <c r="O40" s="159">
        <f>SUM(O35:O39)</f>
        <v>0</v>
      </c>
    </row>
    <row r="41" spans="3:15" x14ac:dyDescent="0.25">
      <c r="C41" s="80"/>
      <c r="D41" s="78" t="s">
        <v>1</v>
      </c>
      <c r="E41" s="30"/>
      <c r="F41" s="17">
        <f>H13</f>
        <v>0</v>
      </c>
      <c r="G41" s="40">
        <f>H40</f>
        <v>0</v>
      </c>
      <c r="H41" s="18">
        <f>G41*F41</f>
        <v>0</v>
      </c>
      <c r="J41" s="80"/>
      <c r="K41" s="78" t="s">
        <v>1</v>
      </c>
      <c r="L41" s="30"/>
      <c r="M41" s="191">
        <f>H13</f>
        <v>0</v>
      </c>
      <c r="N41" s="40">
        <f>O40</f>
        <v>0</v>
      </c>
      <c r="O41" s="18">
        <f>N41*M41</f>
        <v>0</v>
      </c>
    </row>
    <row r="42" spans="3:15" x14ac:dyDescent="0.25">
      <c r="C42" s="154"/>
      <c r="D42" s="155" t="s">
        <v>229</v>
      </c>
      <c r="E42" s="156"/>
      <c r="F42" s="157"/>
      <c r="G42" s="158"/>
      <c r="H42" s="159">
        <f>SUM(H41)</f>
        <v>0</v>
      </c>
      <c r="J42" s="154"/>
      <c r="K42" s="155" t="s">
        <v>229</v>
      </c>
      <c r="L42" s="156"/>
      <c r="M42" s="157"/>
      <c r="N42" s="158"/>
      <c r="O42" s="159">
        <f>SUM(O41)</f>
        <v>0</v>
      </c>
    </row>
    <row r="43" spans="3:15" ht="15.75" thickBot="1" x14ac:dyDescent="0.3">
      <c r="C43" s="124"/>
      <c r="D43" s="123" t="s">
        <v>266</v>
      </c>
      <c r="E43" s="122"/>
      <c r="F43" s="121"/>
      <c r="G43" s="120"/>
      <c r="H43" s="119">
        <f>H40+H42</f>
        <v>0</v>
      </c>
      <c r="J43" s="124"/>
      <c r="K43" s="123" t="s">
        <v>266</v>
      </c>
      <c r="L43" s="122"/>
      <c r="M43" s="121"/>
      <c r="N43" s="120"/>
      <c r="O43" s="119">
        <f>O40+O42</f>
        <v>0</v>
      </c>
    </row>
    <row r="44" spans="3:15" ht="15.75" thickBot="1" x14ac:dyDescent="0.3"/>
    <row r="45" spans="3:15" x14ac:dyDescent="0.25">
      <c r="C45" s="134">
        <v>3</v>
      </c>
      <c r="D45" s="133" t="s">
        <v>192</v>
      </c>
      <c r="E45" s="132" t="s">
        <v>3</v>
      </c>
      <c r="F45" s="131" t="s">
        <v>4</v>
      </c>
      <c r="G45" s="130" t="s">
        <v>215</v>
      </c>
      <c r="H45" s="129" t="s">
        <v>216</v>
      </c>
      <c r="J45" s="134">
        <v>3</v>
      </c>
      <c r="K45" s="133" t="s">
        <v>192</v>
      </c>
      <c r="L45" s="132" t="s">
        <v>3</v>
      </c>
      <c r="M45" s="131" t="s">
        <v>4</v>
      </c>
      <c r="N45" s="130" t="s">
        <v>215</v>
      </c>
      <c r="O45" s="129" t="s">
        <v>216</v>
      </c>
    </row>
    <row r="46" spans="3:15" x14ac:dyDescent="0.25">
      <c r="C46" s="128" t="s">
        <v>34</v>
      </c>
      <c r="D46" s="127" t="s">
        <v>227</v>
      </c>
      <c r="E46" s="125" t="s">
        <v>5</v>
      </c>
      <c r="F46" s="209"/>
      <c r="G46" s="79"/>
      <c r="H46" s="81">
        <f>G46*F46</f>
        <v>0</v>
      </c>
      <c r="J46" s="128" t="s">
        <v>34</v>
      </c>
      <c r="K46" s="127" t="s">
        <v>227</v>
      </c>
      <c r="L46" s="125" t="s">
        <v>5</v>
      </c>
      <c r="M46" s="209"/>
      <c r="N46" s="79"/>
      <c r="O46" s="81">
        <f>N46*M46</f>
        <v>0</v>
      </c>
    </row>
    <row r="47" spans="3:15" x14ac:dyDescent="0.25">
      <c r="C47" s="128" t="s">
        <v>35</v>
      </c>
      <c r="D47" s="127" t="s">
        <v>226</v>
      </c>
      <c r="E47" s="125" t="s">
        <v>5</v>
      </c>
      <c r="F47" s="209"/>
      <c r="G47" s="79"/>
      <c r="H47" s="81">
        <f>G47*F47</f>
        <v>0</v>
      </c>
      <c r="J47" s="128" t="s">
        <v>35</v>
      </c>
      <c r="K47" s="127" t="s">
        <v>226</v>
      </c>
      <c r="L47" s="125" t="s">
        <v>5</v>
      </c>
      <c r="M47" s="209"/>
      <c r="N47" s="79"/>
      <c r="O47" s="81">
        <f>N47*M47</f>
        <v>0</v>
      </c>
    </row>
    <row r="48" spans="3:15" x14ac:dyDescent="0.25">
      <c r="C48" s="128" t="s">
        <v>36</v>
      </c>
      <c r="D48" s="127" t="s">
        <v>225</v>
      </c>
      <c r="E48" s="125" t="s">
        <v>5</v>
      </c>
      <c r="F48" s="209"/>
      <c r="G48" s="79"/>
      <c r="H48" s="81">
        <f>G48*F48</f>
        <v>0</v>
      </c>
      <c r="J48" s="128" t="s">
        <v>36</v>
      </c>
      <c r="K48" s="127" t="s">
        <v>225</v>
      </c>
      <c r="L48" s="125" t="s">
        <v>5</v>
      </c>
      <c r="M48" s="209"/>
      <c r="N48" s="79"/>
      <c r="O48" s="81">
        <f>N48*M48</f>
        <v>0</v>
      </c>
    </row>
    <row r="49" spans="3:15" x14ac:dyDescent="0.25">
      <c r="C49" s="128" t="s">
        <v>37</v>
      </c>
      <c r="D49" s="127"/>
      <c r="E49" s="125"/>
      <c r="F49" s="209"/>
      <c r="G49" s="79"/>
      <c r="H49" s="81">
        <f>G49*F49</f>
        <v>0</v>
      </c>
      <c r="J49" s="128" t="s">
        <v>37</v>
      </c>
      <c r="K49" s="127"/>
      <c r="L49" s="125"/>
      <c r="M49" s="209"/>
      <c r="N49" s="79"/>
      <c r="O49" s="81">
        <f>N49*M49</f>
        <v>0</v>
      </c>
    </row>
    <row r="50" spans="3:15" x14ac:dyDescent="0.25">
      <c r="C50" s="128" t="s">
        <v>38</v>
      </c>
      <c r="D50" s="127"/>
      <c r="E50" s="125"/>
      <c r="F50" s="209"/>
      <c r="G50" s="79"/>
      <c r="H50" s="81">
        <f>G50*F50</f>
        <v>0</v>
      </c>
      <c r="J50" s="128" t="s">
        <v>38</v>
      </c>
      <c r="K50" s="127"/>
      <c r="L50" s="125"/>
      <c r="M50" s="209"/>
      <c r="N50" s="79"/>
      <c r="O50" s="81">
        <f>N50*M50</f>
        <v>0</v>
      </c>
    </row>
    <row r="51" spans="3:15" x14ac:dyDescent="0.25">
      <c r="C51" s="154"/>
      <c r="D51" s="155" t="s">
        <v>224</v>
      </c>
      <c r="E51" s="156"/>
      <c r="F51" s="157"/>
      <c r="G51" s="158"/>
      <c r="H51" s="159">
        <f>SUM(H46:H50)</f>
        <v>0</v>
      </c>
      <c r="J51" s="154"/>
      <c r="K51" s="155" t="s">
        <v>224</v>
      </c>
      <c r="L51" s="156"/>
      <c r="M51" s="157"/>
      <c r="N51" s="158"/>
      <c r="O51" s="159">
        <f>SUM(O46:O50)</f>
        <v>0</v>
      </c>
    </row>
    <row r="52" spans="3:15" x14ac:dyDescent="0.25">
      <c r="C52" s="80"/>
      <c r="D52" s="78" t="s">
        <v>1</v>
      </c>
      <c r="E52" s="30"/>
      <c r="F52" s="191">
        <f>H13</f>
        <v>0</v>
      </c>
      <c r="G52" s="40">
        <f>H51</f>
        <v>0</v>
      </c>
      <c r="H52" s="18">
        <f>G52*F52</f>
        <v>0</v>
      </c>
      <c r="J52" s="80"/>
      <c r="K52" s="78" t="s">
        <v>1</v>
      </c>
      <c r="L52" s="30"/>
      <c r="M52" s="191">
        <f>H13</f>
        <v>0</v>
      </c>
      <c r="N52" s="40">
        <f>O51</f>
        <v>0</v>
      </c>
      <c r="O52" s="18">
        <f>N52*M52</f>
        <v>0</v>
      </c>
    </row>
    <row r="53" spans="3:15" x14ac:dyDescent="0.25">
      <c r="C53" s="154"/>
      <c r="D53" s="155" t="s">
        <v>190</v>
      </c>
      <c r="E53" s="156"/>
      <c r="F53" s="157"/>
      <c r="G53" s="158"/>
      <c r="H53" s="159">
        <f>SUM(H52)</f>
        <v>0</v>
      </c>
      <c r="J53" s="154"/>
      <c r="K53" s="155" t="s">
        <v>190</v>
      </c>
      <c r="L53" s="156"/>
      <c r="M53" s="157"/>
      <c r="N53" s="158"/>
      <c r="O53" s="159">
        <f>SUM(O52)</f>
        <v>0</v>
      </c>
    </row>
    <row r="54" spans="3:15" ht="15.75" thickBot="1" x14ac:dyDescent="0.3">
      <c r="C54" s="124"/>
      <c r="D54" s="123" t="s">
        <v>223</v>
      </c>
      <c r="E54" s="122"/>
      <c r="F54" s="121"/>
      <c r="G54" s="120"/>
      <c r="H54" s="119">
        <f>H51+H53</f>
        <v>0</v>
      </c>
      <c r="J54" s="124"/>
      <c r="K54" s="123" t="s">
        <v>223</v>
      </c>
      <c r="L54" s="122"/>
      <c r="M54" s="121"/>
      <c r="N54" s="120"/>
      <c r="O54" s="119">
        <f>O51+O53</f>
        <v>0</v>
      </c>
    </row>
    <row r="55" spans="3:15" ht="15.75" thickBot="1" x14ac:dyDescent="0.3"/>
    <row r="56" spans="3:15" x14ac:dyDescent="0.25">
      <c r="C56" s="341" t="s">
        <v>203</v>
      </c>
      <c r="D56" s="342"/>
      <c r="E56" s="342"/>
      <c r="F56" s="342"/>
      <c r="G56" s="342"/>
      <c r="H56" s="343"/>
      <c r="J56" s="341" t="s">
        <v>203</v>
      </c>
      <c r="K56" s="342"/>
      <c r="L56" s="342"/>
      <c r="M56" s="342"/>
      <c r="N56" s="342"/>
      <c r="O56" s="343"/>
    </row>
    <row r="57" spans="3:15" ht="15.75" hidden="1" customHeight="1" x14ac:dyDescent="0.25">
      <c r="C57" s="114"/>
      <c r="D57" s="111" t="s">
        <v>205</v>
      </c>
      <c r="E57" s="118"/>
      <c r="F57" s="117"/>
      <c r="G57" s="116"/>
      <c r="H57" s="115">
        <f>SUM(F20:F24)</f>
        <v>0</v>
      </c>
      <c r="J57" s="114"/>
      <c r="K57" s="111" t="s">
        <v>205</v>
      </c>
      <c r="L57" s="118"/>
      <c r="M57" s="117"/>
      <c r="N57" s="116"/>
      <c r="O57" s="115">
        <f>SUM(M20:M24)</f>
        <v>0</v>
      </c>
    </row>
    <row r="58" spans="3:15" x14ac:dyDescent="0.25">
      <c r="C58" s="114"/>
      <c r="D58" s="112" t="s">
        <v>222</v>
      </c>
      <c r="E58" s="111"/>
      <c r="F58" s="110"/>
      <c r="G58" s="109"/>
      <c r="H58" s="183">
        <f>H29+H40+H51</f>
        <v>0</v>
      </c>
      <c r="J58" s="114"/>
      <c r="K58" s="112" t="s">
        <v>222</v>
      </c>
      <c r="L58" s="111"/>
      <c r="M58" s="110"/>
      <c r="N58" s="109"/>
      <c r="O58" s="108">
        <f>O29+O40+O51</f>
        <v>0</v>
      </c>
    </row>
    <row r="59" spans="3:15" x14ac:dyDescent="0.25">
      <c r="C59" s="113"/>
      <c r="D59" s="112" t="s">
        <v>221</v>
      </c>
      <c r="E59" s="111"/>
      <c r="F59" s="110"/>
      <c r="G59" s="109"/>
      <c r="H59" s="108">
        <f>H31+H42+H53</f>
        <v>0</v>
      </c>
      <c r="J59" s="113"/>
      <c r="K59" s="112" t="s">
        <v>221</v>
      </c>
      <c r="L59" s="111"/>
      <c r="M59" s="110"/>
      <c r="N59" s="109"/>
      <c r="O59" s="108">
        <f>O31+O42+O53</f>
        <v>0</v>
      </c>
    </row>
    <row r="60" spans="3:15" x14ac:dyDescent="0.25">
      <c r="C60" s="113"/>
      <c r="D60" s="112" t="s">
        <v>220</v>
      </c>
      <c r="E60" s="111"/>
      <c r="F60" s="110"/>
      <c r="G60" s="109"/>
      <c r="H60" s="183">
        <f>SUM(H58:H59)</f>
        <v>0</v>
      </c>
      <c r="J60" s="113"/>
      <c r="K60" s="112" t="s">
        <v>219</v>
      </c>
      <c r="L60" s="111"/>
      <c r="M60" s="110"/>
      <c r="N60" s="109"/>
      <c r="O60" s="108">
        <f>SUM(O58:O59)</f>
        <v>0</v>
      </c>
    </row>
    <row r="61" spans="3:15" ht="15.75" thickBot="1" x14ac:dyDescent="0.3">
      <c r="C61" s="107"/>
      <c r="D61" s="106" t="s">
        <v>218</v>
      </c>
      <c r="E61" s="105"/>
      <c r="F61" s="105"/>
      <c r="G61" s="105"/>
      <c r="H61" s="147">
        <f>IFERROR(H60/F12,0)</f>
        <v>0</v>
      </c>
      <c r="J61" s="107"/>
      <c r="K61" s="106" t="s">
        <v>217</v>
      </c>
      <c r="L61" s="105"/>
      <c r="M61" s="105"/>
      <c r="N61" s="105"/>
      <c r="O61" s="147">
        <f>IFERROR(O60/F12,0)</f>
        <v>0</v>
      </c>
    </row>
    <row r="62" spans="3:15" x14ac:dyDescent="0.25">
      <c r="C62" s="184"/>
      <c r="D62" s="185"/>
      <c r="E62" s="186"/>
      <c r="F62" s="186"/>
      <c r="G62" s="186"/>
      <c r="H62" s="187">
        <f>H61/1000</f>
        <v>0</v>
      </c>
      <c r="J62" s="184"/>
      <c r="K62" s="185"/>
      <c r="L62" s="186"/>
      <c r="M62" s="186"/>
      <c r="N62" s="186"/>
      <c r="O62" s="187"/>
    </row>
    <row r="63" spans="3:15" ht="15.75" thickBot="1" x14ac:dyDescent="0.3"/>
    <row r="64" spans="3:15" ht="15.75" x14ac:dyDescent="0.25">
      <c r="C64" s="332" t="s">
        <v>281</v>
      </c>
      <c r="D64" s="333"/>
      <c r="E64" s="333"/>
      <c r="F64" s="333"/>
      <c r="G64" s="333"/>
      <c r="H64" s="145">
        <f>(H61*H65+H66*O61)/1000</f>
        <v>0</v>
      </c>
    </row>
    <row r="65" spans="3:11" x14ac:dyDescent="0.25">
      <c r="C65" s="334" t="s">
        <v>10</v>
      </c>
      <c r="D65" s="335"/>
      <c r="E65" s="335"/>
      <c r="F65" s="335"/>
      <c r="G65" s="335"/>
      <c r="H65" s="104">
        <v>1</v>
      </c>
      <c r="K65" s="232"/>
    </row>
    <row r="66" spans="3:11" ht="15.75" thickBot="1" x14ac:dyDescent="0.3">
      <c r="C66" s="336" t="s">
        <v>11</v>
      </c>
      <c r="D66" s="337"/>
      <c r="E66" s="337"/>
      <c r="F66" s="337"/>
      <c r="G66" s="337"/>
      <c r="H66" s="103">
        <v>0</v>
      </c>
    </row>
  </sheetData>
  <mergeCells count="31">
    <mergeCell ref="C64:G64"/>
    <mergeCell ref="C65:G65"/>
    <mergeCell ref="C66:G66"/>
    <mergeCell ref="J2:O2"/>
    <mergeCell ref="J56:O56"/>
    <mergeCell ref="J16:O17"/>
    <mergeCell ref="C56:H56"/>
    <mergeCell ref="C2:H2"/>
    <mergeCell ref="D12:E12"/>
    <mergeCell ref="D14:E14"/>
    <mergeCell ref="F5:G5"/>
    <mergeCell ref="F6:G6"/>
    <mergeCell ref="F7:G7"/>
    <mergeCell ref="F8:G8"/>
    <mergeCell ref="F9:G9"/>
    <mergeCell ref="F12:G12"/>
    <mergeCell ref="F14:G14"/>
    <mergeCell ref="C16:H17"/>
    <mergeCell ref="D4:G4"/>
    <mergeCell ref="F11:G11"/>
    <mergeCell ref="F10:G10"/>
    <mergeCell ref="D5:E5"/>
    <mergeCell ref="D6:E6"/>
    <mergeCell ref="D7:E7"/>
    <mergeCell ref="D8:E8"/>
    <mergeCell ref="D9:E9"/>
    <mergeCell ref="D11:E11"/>
    <mergeCell ref="D10:E10"/>
    <mergeCell ref="D13:E13"/>
    <mergeCell ref="F13:G13"/>
    <mergeCell ref="H9:H12"/>
  </mergeCells>
  <dataValidations count="2">
    <dataValidation type="list" allowBlank="1" showInputMessage="1" showErrorMessage="1" sqref="E46 L46">
      <formula1>"Global,Viaje,Tonelada"</formula1>
    </dataValidation>
    <dataValidation type="list" allowBlank="1" showInputMessage="1" showErrorMessage="1" sqref="F13:G13">
      <formula1>"Entresaque,Parejo"</formula1>
    </dataValidation>
  </dataValidations>
  <pageMargins left="0.7" right="0.7" top="0.75" bottom="0.75" header="0.3" footer="0.3"/>
  <pageSetup paperSize="9" scale="43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DL126"/>
  <sheetViews>
    <sheetView showGridLines="0" view="pageBreakPreview" topLeftCell="A55" zoomScale="130" zoomScaleNormal="100" zoomScaleSheetLayoutView="130" workbookViewId="0">
      <selection activeCell="D30" sqref="D30"/>
    </sheetView>
  </sheetViews>
  <sheetFormatPr baseColWidth="10" defaultRowHeight="12.75" x14ac:dyDescent="0.2"/>
  <cols>
    <col min="1" max="2" width="2" customWidth="1"/>
    <col min="3" max="3" width="5.42578125" customWidth="1"/>
    <col min="4" max="4" width="41.42578125" customWidth="1"/>
    <col min="5" max="5" width="16.42578125" customWidth="1"/>
    <col min="6" max="6" width="16.28515625" customWidth="1"/>
    <col min="7" max="7" width="17.42578125" customWidth="1"/>
    <col min="8" max="8" width="19.28515625" customWidth="1"/>
    <col min="9" max="9" width="2.5703125" customWidth="1"/>
    <col min="10" max="10" width="13.5703125" bestFit="1" customWidth="1"/>
  </cols>
  <sheetData>
    <row r="1" spans="1:116" ht="13.5" thickBot="1" x14ac:dyDescent="0.25"/>
    <row r="2" spans="1:116" ht="18.75" thickBot="1" x14ac:dyDescent="0.3">
      <c r="A2" s="8"/>
      <c r="C2" s="350" t="s">
        <v>162</v>
      </c>
      <c r="D2" s="351"/>
      <c r="E2" s="351"/>
      <c r="F2" s="351"/>
      <c r="G2" s="351"/>
      <c r="H2" s="352"/>
    </row>
    <row r="3" spans="1:116" ht="18.75" thickBot="1" x14ac:dyDescent="0.3">
      <c r="A3" s="8"/>
    </row>
    <row r="4" spans="1:116" ht="12.75" customHeight="1" thickBot="1" x14ac:dyDescent="0.3">
      <c r="A4" s="8"/>
      <c r="D4" s="359" t="s">
        <v>302</v>
      </c>
      <c r="E4" s="360"/>
      <c r="F4" s="364"/>
    </row>
    <row r="5" spans="1:116" s="150" customFormat="1" ht="12.75" customHeight="1" x14ac:dyDescent="0.2">
      <c r="A5" s="152"/>
      <c r="B5"/>
      <c r="C5"/>
      <c r="D5" s="161" t="s">
        <v>288</v>
      </c>
      <c r="E5" s="367"/>
      <c r="F5" s="368"/>
      <c r="G5" s="4"/>
      <c r="H5" s="302" t="s">
        <v>1</v>
      </c>
      <c r="I5" s="4"/>
      <c r="J5" s="4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  <c r="CT5" s="149"/>
      <c r="CU5" s="149"/>
      <c r="CV5" s="149"/>
      <c r="CW5" s="149"/>
      <c r="CX5" s="149"/>
      <c r="CY5" s="149"/>
      <c r="CZ5" s="149"/>
      <c r="DA5" s="149"/>
      <c r="DB5" s="149"/>
      <c r="DC5" s="149"/>
      <c r="DD5" s="149"/>
      <c r="DE5" s="149"/>
      <c r="DF5" s="149"/>
      <c r="DG5" s="149"/>
      <c r="DH5" s="149"/>
      <c r="DI5" s="149"/>
      <c r="DJ5" s="149"/>
      <c r="DK5" s="149"/>
      <c r="DL5" s="149"/>
    </row>
    <row r="6" spans="1:116" s="150" customFormat="1" ht="12.75" customHeight="1" x14ac:dyDescent="0.2">
      <c r="A6" s="152"/>
      <c r="B6"/>
      <c r="C6"/>
      <c r="D6" s="162" t="s">
        <v>289</v>
      </c>
      <c r="E6" s="365">
        <f>Cosecha!F6</f>
        <v>0</v>
      </c>
      <c r="F6" s="366"/>
      <c r="G6" s="4"/>
      <c r="H6" s="303"/>
      <c r="I6" s="4"/>
      <c r="J6" s="4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49"/>
      <c r="CY6" s="149"/>
      <c r="CZ6" s="149"/>
      <c r="DA6" s="149"/>
      <c r="DB6" s="149"/>
      <c r="DC6" s="149"/>
      <c r="DD6" s="149"/>
      <c r="DE6" s="149"/>
      <c r="DF6" s="149"/>
      <c r="DG6" s="149"/>
      <c r="DH6" s="149"/>
      <c r="DI6" s="149"/>
      <c r="DJ6" s="149"/>
      <c r="DK6" s="149"/>
      <c r="DL6" s="149"/>
    </row>
    <row r="7" spans="1:116" s="150" customFormat="1" ht="12.75" customHeight="1" x14ac:dyDescent="0.2">
      <c r="A7" s="152"/>
      <c r="B7"/>
      <c r="C7"/>
      <c r="D7" s="162" t="s">
        <v>290</v>
      </c>
      <c r="E7" s="365">
        <f>Cosecha!F7</f>
        <v>0</v>
      </c>
      <c r="F7" s="366"/>
      <c r="G7" s="4"/>
      <c r="H7" s="303"/>
      <c r="I7" s="4"/>
      <c r="J7" s="4"/>
      <c r="K7" s="149" t="s">
        <v>287</v>
      </c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  <c r="CT7" s="149"/>
      <c r="CU7" s="149"/>
      <c r="CV7" s="149"/>
      <c r="CW7" s="149"/>
      <c r="CX7" s="149"/>
      <c r="CY7" s="149"/>
      <c r="CZ7" s="149"/>
      <c r="DA7" s="149"/>
      <c r="DB7" s="149"/>
      <c r="DC7" s="149"/>
      <c r="DD7" s="149"/>
      <c r="DE7" s="149"/>
      <c r="DF7" s="149"/>
      <c r="DG7" s="149"/>
      <c r="DH7" s="149"/>
      <c r="DI7" s="149"/>
      <c r="DJ7" s="149"/>
      <c r="DK7" s="149"/>
      <c r="DL7" s="149"/>
    </row>
    <row r="8" spans="1:116" s="150" customFormat="1" ht="12.75" customHeight="1" x14ac:dyDescent="0.2">
      <c r="A8" s="152"/>
      <c r="B8"/>
      <c r="C8"/>
      <c r="D8" s="162" t="s">
        <v>291</v>
      </c>
      <c r="E8" s="365">
        <f>Cosecha!F8</f>
        <v>0</v>
      </c>
      <c r="F8" s="366"/>
      <c r="G8" s="4"/>
      <c r="H8" s="303"/>
      <c r="I8" s="4"/>
      <c r="J8" s="4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9"/>
      <c r="CU8" s="149"/>
      <c r="CV8" s="149"/>
      <c r="CW8" s="149"/>
      <c r="CX8" s="149"/>
      <c r="CY8" s="149"/>
      <c r="CZ8" s="149"/>
      <c r="DA8" s="149"/>
      <c r="DB8" s="149"/>
      <c r="DC8" s="149"/>
      <c r="DD8" s="149"/>
      <c r="DE8" s="149"/>
      <c r="DF8" s="149"/>
      <c r="DG8" s="149"/>
      <c r="DH8" s="149"/>
      <c r="DI8" s="149"/>
      <c r="DJ8" s="149"/>
      <c r="DK8" s="149"/>
      <c r="DL8" s="149"/>
    </row>
    <row r="9" spans="1:116" s="150" customFormat="1" ht="12.75" customHeight="1" thickBot="1" x14ac:dyDescent="0.25">
      <c r="A9" s="152"/>
      <c r="B9"/>
      <c r="C9"/>
      <c r="D9" s="162" t="s">
        <v>292</v>
      </c>
      <c r="E9" s="365">
        <f>Cosecha!F9</f>
        <v>0</v>
      </c>
      <c r="F9" s="366"/>
      <c r="G9" s="4"/>
      <c r="H9" s="210"/>
      <c r="I9" s="4"/>
      <c r="J9" s="4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</row>
    <row r="10" spans="1:116" s="150" customFormat="1" ht="12.75" customHeight="1" x14ac:dyDescent="0.2">
      <c r="A10" s="152"/>
      <c r="B10"/>
      <c r="C10"/>
      <c r="D10" s="164" t="s">
        <v>303</v>
      </c>
      <c r="E10" s="365">
        <f>Cosecha!F10</f>
        <v>0</v>
      </c>
      <c r="F10" s="366"/>
      <c r="G10" s="4"/>
      <c r="H10" s="4"/>
      <c r="I10" s="4"/>
      <c r="J10" s="4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  <c r="CT10" s="149"/>
      <c r="CU10" s="149"/>
      <c r="CV10" s="149"/>
      <c r="CW10" s="149"/>
      <c r="CX10" s="149"/>
      <c r="CY10" s="149"/>
      <c r="CZ10" s="149"/>
      <c r="DA10" s="149"/>
      <c r="DB10" s="149"/>
      <c r="DC10" s="149"/>
      <c r="DD10" s="149"/>
      <c r="DE10" s="149"/>
      <c r="DF10" s="149"/>
      <c r="DG10" s="149"/>
      <c r="DH10" s="149"/>
      <c r="DI10" s="149"/>
      <c r="DJ10" s="149"/>
      <c r="DK10" s="149"/>
      <c r="DL10" s="149"/>
    </row>
    <row r="11" spans="1:116" s="150" customFormat="1" ht="12.75" customHeight="1" thickBot="1" x14ac:dyDescent="0.25">
      <c r="A11" s="152"/>
      <c r="B11"/>
      <c r="C11"/>
      <c r="D11" s="163" t="s">
        <v>293</v>
      </c>
      <c r="E11" s="362">
        <f>Cosecha!F11</f>
        <v>0</v>
      </c>
      <c r="F11" s="363"/>
      <c r="G11" s="4"/>
      <c r="H11" s="4"/>
      <c r="I11" s="4"/>
      <c r="J11" s="4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  <c r="CT11" s="149"/>
      <c r="CU11" s="149"/>
      <c r="CV11" s="149"/>
      <c r="CW11" s="149"/>
      <c r="CX11" s="149"/>
      <c r="CY11" s="149"/>
      <c r="CZ11" s="149"/>
      <c r="DA11" s="149"/>
      <c r="DB11" s="149"/>
      <c r="DC11" s="149"/>
      <c r="DD11" s="149"/>
      <c r="DE11" s="149"/>
      <c r="DF11" s="149"/>
      <c r="DG11" s="149"/>
      <c r="DH11" s="149"/>
      <c r="DI11" s="149"/>
      <c r="DJ11" s="149"/>
      <c r="DK11" s="149"/>
      <c r="DL11" s="149"/>
    </row>
    <row r="12" spans="1:116" s="149" customFormat="1" ht="12.75" customHeight="1" thickBot="1" x14ac:dyDescent="0.25">
      <c r="A12" s="152"/>
      <c r="B12" s="152"/>
      <c r="C12" s="160"/>
      <c r="E12" s="4"/>
      <c r="F12" s="4"/>
      <c r="G12" s="4"/>
      <c r="H12" s="4"/>
      <c r="I12" s="4"/>
      <c r="J12" s="4"/>
    </row>
    <row r="13" spans="1:116" ht="12.75" customHeight="1" thickBot="1" x14ac:dyDescent="0.25">
      <c r="D13" s="369" t="s">
        <v>110</v>
      </c>
      <c r="E13" s="370"/>
      <c r="F13" s="359" t="s">
        <v>304</v>
      </c>
      <c r="G13" s="360"/>
      <c r="H13" s="361"/>
    </row>
    <row r="14" spans="1:116" ht="12.75" customHeight="1" x14ac:dyDescent="0.2">
      <c r="D14" s="200" t="s">
        <v>279</v>
      </c>
      <c r="E14" s="201"/>
      <c r="F14" s="353" t="s">
        <v>72</v>
      </c>
      <c r="G14" s="354"/>
      <c r="H14" s="202"/>
    </row>
    <row r="15" spans="1:116" ht="12.75" customHeight="1" x14ac:dyDescent="0.2">
      <c r="D15" s="203" t="s">
        <v>89</v>
      </c>
      <c r="E15" s="204"/>
      <c r="F15" s="355" t="s">
        <v>118</v>
      </c>
      <c r="G15" s="356"/>
      <c r="H15" s="205"/>
    </row>
    <row r="16" spans="1:116" ht="12.75" customHeight="1" x14ac:dyDescent="0.2">
      <c r="D16" s="203" t="s">
        <v>102</v>
      </c>
      <c r="E16" s="204"/>
      <c r="F16" s="355" t="s">
        <v>71</v>
      </c>
      <c r="G16" s="356"/>
      <c r="H16" s="205"/>
    </row>
    <row r="17" spans="1:11" ht="12.75" customHeight="1" thickBot="1" x14ac:dyDescent="0.25">
      <c r="D17" s="206" t="s">
        <v>105</v>
      </c>
      <c r="E17" s="207"/>
      <c r="F17" s="357" t="s">
        <v>278</v>
      </c>
      <c r="G17" s="358"/>
      <c r="H17" s="208"/>
    </row>
    <row r="18" spans="1:11" ht="13.5" thickBot="1" x14ac:dyDescent="0.25">
      <c r="A18" s="7"/>
      <c r="B18" s="374"/>
      <c r="C18" s="374"/>
      <c r="D18" s="374"/>
      <c r="E18" s="374"/>
      <c r="F18" s="374"/>
      <c r="G18" s="374"/>
      <c r="H18" s="374"/>
    </row>
    <row r="19" spans="1:11" x14ac:dyDescent="0.2">
      <c r="A19" s="10"/>
      <c r="C19" s="26">
        <v>1</v>
      </c>
      <c r="D19" s="27" t="s">
        <v>13</v>
      </c>
      <c r="E19" s="65" t="s">
        <v>3</v>
      </c>
      <c r="F19" s="66" t="s">
        <v>4</v>
      </c>
      <c r="G19" s="28" t="s">
        <v>215</v>
      </c>
      <c r="H19" s="67" t="s">
        <v>216</v>
      </c>
    </row>
    <row r="20" spans="1:11" x14ac:dyDescent="0.2">
      <c r="A20" s="11"/>
      <c r="C20" s="12" t="s">
        <v>15</v>
      </c>
      <c r="D20" s="13" t="s">
        <v>328</v>
      </c>
      <c r="E20" s="14" t="s">
        <v>14</v>
      </c>
      <c r="F20" s="209"/>
      <c r="G20" s="79"/>
      <c r="H20" s="81">
        <f t="shared" ref="H20:H32" si="0">F20*G20*$H$15*$H$16</f>
        <v>0</v>
      </c>
    </row>
    <row r="21" spans="1:11" x14ac:dyDescent="0.2">
      <c r="A21" s="11"/>
      <c r="C21" s="12" t="s">
        <v>16</v>
      </c>
      <c r="D21" s="13" t="s">
        <v>106</v>
      </c>
      <c r="E21" s="14" t="s">
        <v>14</v>
      </c>
      <c r="F21" s="209"/>
      <c r="G21" s="79"/>
      <c r="H21" s="81">
        <f t="shared" si="0"/>
        <v>0</v>
      </c>
    </row>
    <row r="22" spans="1:11" x14ac:dyDescent="0.2">
      <c r="A22" s="11"/>
      <c r="C22" s="12" t="s">
        <v>18</v>
      </c>
      <c r="D22" s="13" t="s">
        <v>20</v>
      </c>
      <c r="E22" s="14" t="s">
        <v>14</v>
      </c>
      <c r="F22" s="209"/>
      <c r="G22" s="79"/>
      <c r="H22" s="81">
        <f t="shared" si="0"/>
        <v>0</v>
      </c>
    </row>
    <row r="23" spans="1:11" x14ac:dyDescent="0.2">
      <c r="A23" s="11"/>
      <c r="C23" s="12" t="s">
        <v>19</v>
      </c>
      <c r="D23" s="13" t="s">
        <v>320</v>
      </c>
      <c r="E23" s="14" t="s">
        <v>14</v>
      </c>
      <c r="F23" s="209"/>
      <c r="G23" s="79"/>
      <c r="H23" s="81">
        <f t="shared" si="0"/>
        <v>0</v>
      </c>
      <c r="J23" s="189"/>
      <c r="K23" s="190"/>
    </row>
    <row r="24" spans="1:11" x14ac:dyDescent="0.2">
      <c r="A24" s="11"/>
      <c r="C24" s="12" t="s">
        <v>21</v>
      </c>
      <c r="D24" s="13" t="s">
        <v>321</v>
      </c>
      <c r="E24" s="14" t="s">
        <v>14</v>
      </c>
      <c r="F24" s="209"/>
      <c r="G24" s="79"/>
      <c r="H24" s="81">
        <f t="shared" si="0"/>
        <v>0</v>
      </c>
      <c r="K24" s="55"/>
    </row>
    <row r="25" spans="1:11" x14ac:dyDescent="0.2">
      <c r="A25" s="11"/>
      <c r="C25" s="12" t="s">
        <v>22</v>
      </c>
      <c r="D25" s="13" t="s">
        <v>322</v>
      </c>
      <c r="E25" s="14" t="s">
        <v>14</v>
      </c>
      <c r="F25" s="209"/>
      <c r="G25" s="79"/>
      <c r="H25" s="81">
        <f t="shared" si="0"/>
        <v>0</v>
      </c>
    </row>
    <row r="26" spans="1:11" x14ac:dyDescent="0.2">
      <c r="A26" s="11"/>
      <c r="C26" s="12" t="s">
        <v>23</v>
      </c>
      <c r="D26" s="13" t="s">
        <v>76</v>
      </c>
      <c r="E26" s="14" t="s">
        <v>14</v>
      </c>
      <c r="F26" s="209"/>
      <c r="G26" s="79"/>
      <c r="H26" s="81">
        <f t="shared" si="0"/>
        <v>0</v>
      </c>
    </row>
    <row r="27" spans="1:11" x14ac:dyDescent="0.2">
      <c r="A27" s="11"/>
      <c r="C27" s="12" t="s">
        <v>74</v>
      </c>
      <c r="D27" s="13" t="s">
        <v>323</v>
      </c>
      <c r="E27" s="14" t="s">
        <v>14</v>
      </c>
      <c r="F27" s="209"/>
      <c r="G27" s="79"/>
      <c r="H27" s="81">
        <f t="shared" si="0"/>
        <v>0</v>
      </c>
    </row>
    <row r="28" spans="1:11" x14ac:dyDescent="0.2">
      <c r="A28" s="11"/>
      <c r="C28" s="12" t="s">
        <v>54</v>
      </c>
      <c r="D28" s="13" t="s">
        <v>111</v>
      </c>
      <c r="E28" s="14" t="s">
        <v>14</v>
      </c>
      <c r="F28" s="209"/>
      <c r="G28" s="79"/>
      <c r="H28" s="81">
        <f t="shared" si="0"/>
        <v>0</v>
      </c>
    </row>
    <row r="29" spans="1:11" x14ac:dyDescent="0.2">
      <c r="A29" s="11"/>
      <c r="C29" s="12" t="s">
        <v>55</v>
      </c>
      <c r="D29" s="13" t="s">
        <v>17</v>
      </c>
      <c r="E29" s="14" t="s">
        <v>14</v>
      </c>
      <c r="F29" s="209"/>
      <c r="G29" s="79"/>
      <c r="H29" s="81">
        <f t="shared" si="0"/>
        <v>0</v>
      </c>
    </row>
    <row r="30" spans="1:11" x14ac:dyDescent="0.2">
      <c r="A30" s="11"/>
      <c r="C30" s="12" t="s">
        <v>26</v>
      </c>
      <c r="D30" s="13" t="s">
        <v>117</v>
      </c>
      <c r="E30" s="14" t="s">
        <v>14</v>
      </c>
      <c r="F30" s="209"/>
      <c r="G30" s="79"/>
      <c r="H30" s="81">
        <f t="shared" si="0"/>
        <v>0</v>
      </c>
    </row>
    <row r="31" spans="1:11" x14ac:dyDescent="0.2">
      <c r="A31" s="11"/>
      <c r="C31" s="12" t="s">
        <v>112</v>
      </c>
      <c r="D31" s="13"/>
      <c r="E31" s="14"/>
      <c r="F31" s="209"/>
      <c r="G31" s="79"/>
      <c r="H31" s="81">
        <f t="shared" ref="H31" si="1">F31*G31*$H$15*$H$16</f>
        <v>0</v>
      </c>
    </row>
    <row r="32" spans="1:11" x14ac:dyDescent="0.2">
      <c r="A32" s="11"/>
      <c r="C32" s="12" t="s">
        <v>113</v>
      </c>
      <c r="D32" s="13"/>
      <c r="E32" s="14"/>
      <c r="F32" s="209"/>
      <c r="G32" s="79"/>
      <c r="H32" s="81">
        <f t="shared" si="0"/>
        <v>0</v>
      </c>
    </row>
    <row r="33" spans="1:8" x14ac:dyDescent="0.2">
      <c r="A33" s="11"/>
      <c r="C33" s="12" t="s">
        <v>114</v>
      </c>
      <c r="D33" s="13" t="s">
        <v>225</v>
      </c>
      <c r="E33" s="14" t="s">
        <v>334</v>
      </c>
      <c r="F33" s="209"/>
      <c r="G33" s="79"/>
      <c r="H33" s="81">
        <f>SUM(F20:F32)*H15*H16*G33*F33</f>
        <v>0</v>
      </c>
    </row>
    <row r="34" spans="1:8" x14ac:dyDescent="0.2">
      <c r="A34" s="11"/>
      <c r="C34" s="12" t="s">
        <v>115</v>
      </c>
      <c r="D34" s="13" t="s">
        <v>24</v>
      </c>
      <c r="E34" s="14" t="s">
        <v>25</v>
      </c>
      <c r="F34" s="209"/>
      <c r="G34" s="79"/>
      <c r="H34" s="81">
        <f t="shared" ref="H34" si="2">G34*F34</f>
        <v>0</v>
      </c>
    </row>
    <row r="35" spans="1:8" x14ac:dyDescent="0.2">
      <c r="A35" s="9"/>
      <c r="C35" s="154"/>
      <c r="D35" s="155" t="s">
        <v>268</v>
      </c>
      <c r="E35" s="156"/>
      <c r="F35" s="157"/>
      <c r="G35" s="158"/>
      <c r="H35" s="159">
        <f>SUM(H20:H34)</f>
        <v>0</v>
      </c>
    </row>
    <row r="36" spans="1:8" x14ac:dyDescent="0.2">
      <c r="A36" s="9"/>
      <c r="C36" s="80"/>
      <c r="D36" s="78" t="s">
        <v>211</v>
      </c>
      <c r="E36" s="30" t="s">
        <v>214</v>
      </c>
      <c r="F36" s="17">
        <f>H9</f>
        <v>0</v>
      </c>
      <c r="G36" s="40">
        <f>H35</f>
        <v>0</v>
      </c>
      <c r="H36" s="18">
        <f>G36</f>
        <v>0</v>
      </c>
    </row>
    <row r="37" spans="1:8" x14ac:dyDescent="0.2">
      <c r="A37" s="9"/>
      <c r="C37" s="154"/>
      <c r="D37" s="155" t="s">
        <v>269</v>
      </c>
      <c r="E37" s="156"/>
      <c r="F37" s="157"/>
      <c r="G37" s="158"/>
      <c r="H37" s="159">
        <f>H36</f>
        <v>0</v>
      </c>
    </row>
    <row r="38" spans="1:8" ht="13.5" thickBot="1" x14ac:dyDescent="0.25">
      <c r="A38" s="9"/>
      <c r="C38" s="32"/>
      <c r="D38" s="21" t="s">
        <v>265</v>
      </c>
      <c r="E38" s="22"/>
      <c r="F38" s="23"/>
      <c r="G38" s="24"/>
      <c r="H38" s="140">
        <f>H35+H37</f>
        <v>0</v>
      </c>
    </row>
    <row r="39" spans="1:8" ht="13.5" thickBot="1" x14ac:dyDescent="0.25">
      <c r="A39" s="9"/>
      <c r="C39" s="19"/>
      <c r="D39" s="19"/>
      <c r="E39" s="19"/>
      <c r="F39" s="19"/>
      <c r="G39" s="19"/>
      <c r="H39" s="25"/>
    </row>
    <row r="40" spans="1:8" x14ac:dyDescent="0.2">
      <c r="A40" s="10"/>
      <c r="C40" s="26">
        <v>2</v>
      </c>
      <c r="D40" s="27" t="s">
        <v>183</v>
      </c>
      <c r="E40" s="65" t="s">
        <v>3</v>
      </c>
      <c r="F40" s="66" t="s">
        <v>4</v>
      </c>
      <c r="G40" s="28" t="s">
        <v>215</v>
      </c>
      <c r="H40" s="67" t="s">
        <v>216</v>
      </c>
    </row>
    <row r="41" spans="1:8" x14ac:dyDescent="0.2">
      <c r="A41" s="29"/>
      <c r="C41" s="12" t="s">
        <v>58</v>
      </c>
      <c r="D41" s="13" t="s">
        <v>325</v>
      </c>
      <c r="E41" s="14" t="s">
        <v>77</v>
      </c>
      <c r="F41" s="209"/>
      <c r="G41" s="79"/>
      <c r="H41" s="81">
        <f>G41*F41</f>
        <v>0</v>
      </c>
    </row>
    <row r="42" spans="1:8" x14ac:dyDescent="0.2">
      <c r="A42" s="29"/>
      <c r="C42" s="12" t="s">
        <v>59</v>
      </c>
      <c r="D42" s="13" t="s">
        <v>133</v>
      </c>
      <c r="E42" s="14" t="s">
        <v>77</v>
      </c>
      <c r="F42" s="209"/>
      <c r="G42" s="79"/>
      <c r="H42" s="81">
        <f t="shared" ref="H42:H57" si="3">G42*F42</f>
        <v>0</v>
      </c>
    </row>
    <row r="43" spans="1:8" x14ac:dyDescent="0.2">
      <c r="A43" s="29"/>
      <c r="C43" s="12" t="s">
        <v>29</v>
      </c>
      <c r="D43" s="13" t="s">
        <v>125</v>
      </c>
      <c r="E43" s="14" t="s">
        <v>77</v>
      </c>
      <c r="F43" s="209"/>
      <c r="G43" s="79"/>
      <c r="H43" s="81">
        <f t="shared" si="3"/>
        <v>0</v>
      </c>
    </row>
    <row r="44" spans="1:8" x14ac:dyDescent="0.2">
      <c r="A44" s="29"/>
      <c r="C44" s="12" t="s">
        <v>60</v>
      </c>
      <c r="D44" s="13" t="s">
        <v>126</v>
      </c>
      <c r="E44" s="14" t="s">
        <v>77</v>
      </c>
      <c r="F44" s="209"/>
      <c r="G44" s="79"/>
      <c r="H44" s="81">
        <f t="shared" si="3"/>
        <v>0</v>
      </c>
    </row>
    <row r="45" spans="1:8" x14ac:dyDescent="0.2">
      <c r="A45" s="29"/>
      <c r="C45" s="12" t="s">
        <v>61</v>
      </c>
      <c r="D45" s="13" t="s">
        <v>40</v>
      </c>
      <c r="E45" s="14" t="s">
        <v>315</v>
      </c>
      <c r="F45" s="209"/>
      <c r="G45" s="79"/>
      <c r="H45" s="81">
        <f t="shared" si="3"/>
        <v>0</v>
      </c>
    </row>
    <row r="46" spans="1:8" x14ac:dyDescent="0.2">
      <c r="A46" s="29"/>
      <c r="C46" s="12" t="s">
        <v>62</v>
      </c>
      <c r="D46" s="13" t="s">
        <v>130</v>
      </c>
      <c r="E46" s="14" t="s">
        <v>127</v>
      </c>
      <c r="F46" s="209"/>
      <c r="G46" s="79"/>
      <c r="H46" s="81">
        <f t="shared" si="3"/>
        <v>0</v>
      </c>
    </row>
    <row r="47" spans="1:8" x14ac:dyDescent="0.2">
      <c r="A47" s="29"/>
      <c r="C47" s="12" t="s">
        <v>107</v>
      </c>
      <c r="D47" s="13" t="s">
        <v>100</v>
      </c>
      <c r="E47" s="14" t="s">
        <v>127</v>
      </c>
      <c r="F47" s="209"/>
      <c r="G47" s="79"/>
      <c r="H47" s="81">
        <f t="shared" si="3"/>
        <v>0</v>
      </c>
    </row>
    <row r="48" spans="1:8" x14ac:dyDescent="0.2">
      <c r="A48" s="29"/>
      <c r="C48" s="12" t="s">
        <v>108</v>
      </c>
      <c r="D48" s="13" t="s">
        <v>44</v>
      </c>
      <c r="E48" s="14" t="s">
        <v>77</v>
      </c>
      <c r="F48" s="209"/>
      <c r="G48" s="79"/>
      <c r="H48" s="81">
        <f t="shared" si="3"/>
        <v>0</v>
      </c>
    </row>
    <row r="49" spans="1:8" x14ac:dyDescent="0.2">
      <c r="A49" s="29"/>
      <c r="C49" s="12" t="s">
        <v>109</v>
      </c>
      <c r="D49" s="13" t="s">
        <v>45</v>
      </c>
      <c r="E49" s="14" t="s">
        <v>127</v>
      </c>
      <c r="F49" s="209"/>
      <c r="G49" s="79"/>
      <c r="H49" s="81">
        <f t="shared" si="3"/>
        <v>0</v>
      </c>
    </row>
    <row r="50" spans="1:8" x14ac:dyDescent="0.2">
      <c r="A50" s="29"/>
      <c r="C50" s="12" t="s">
        <v>122</v>
      </c>
      <c r="D50" s="13" t="s">
        <v>160</v>
      </c>
      <c r="E50" s="14" t="s">
        <v>5</v>
      </c>
      <c r="F50" s="209"/>
      <c r="G50" s="79"/>
      <c r="H50" s="81">
        <f t="shared" si="3"/>
        <v>0</v>
      </c>
    </row>
    <row r="51" spans="1:8" x14ac:dyDescent="0.2">
      <c r="A51" s="29"/>
      <c r="C51" s="12" t="s">
        <v>123</v>
      </c>
      <c r="D51" s="13" t="s">
        <v>132</v>
      </c>
      <c r="E51" s="14" t="s">
        <v>77</v>
      </c>
      <c r="F51" s="209"/>
      <c r="G51" s="79"/>
      <c r="H51" s="81">
        <f t="shared" si="3"/>
        <v>0</v>
      </c>
    </row>
    <row r="52" spans="1:8" x14ac:dyDescent="0.2">
      <c r="A52" s="29"/>
      <c r="C52" s="12" t="s">
        <v>124</v>
      </c>
      <c r="D52" s="13"/>
      <c r="E52" s="14"/>
      <c r="F52" s="209"/>
      <c r="G52" s="79"/>
      <c r="H52" s="81">
        <f t="shared" si="3"/>
        <v>0</v>
      </c>
    </row>
    <row r="53" spans="1:8" x14ac:dyDescent="0.2">
      <c r="A53" s="29"/>
      <c r="C53" s="12" t="s">
        <v>179</v>
      </c>
      <c r="D53" s="13"/>
      <c r="E53" s="14"/>
      <c r="F53" s="209"/>
      <c r="G53" s="79"/>
      <c r="H53" s="81">
        <f>G53*F53</f>
        <v>0</v>
      </c>
    </row>
    <row r="54" spans="1:8" x14ac:dyDescent="0.2">
      <c r="A54" s="29"/>
      <c r="C54" s="12" t="s">
        <v>180</v>
      </c>
      <c r="D54" s="13"/>
      <c r="E54" s="14"/>
      <c r="F54" s="209"/>
      <c r="G54" s="79"/>
      <c r="H54" s="81">
        <f t="shared" si="3"/>
        <v>0</v>
      </c>
    </row>
    <row r="55" spans="1:8" x14ac:dyDescent="0.2">
      <c r="A55" s="9"/>
      <c r="C55" s="12" t="s">
        <v>181</v>
      </c>
      <c r="D55" s="13" t="s">
        <v>46</v>
      </c>
      <c r="E55" s="14" t="s">
        <v>5</v>
      </c>
      <c r="F55" s="209"/>
      <c r="G55" s="79"/>
      <c r="H55" s="81">
        <f t="shared" si="3"/>
        <v>0</v>
      </c>
    </row>
    <row r="56" spans="1:8" x14ac:dyDescent="0.2">
      <c r="A56" s="9"/>
      <c r="C56" s="154"/>
      <c r="D56" s="155" t="s">
        <v>274</v>
      </c>
      <c r="E56" s="156"/>
      <c r="F56" s="157"/>
      <c r="G56" s="158"/>
      <c r="H56" s="159">
        <f>SUM(H41:H55)</f>
        <v>0</v>
      </c>
    </row>
    <row r="57" spans="1:8" x14ac:dyDescent="0.2">
      <c r="A57" s="9"/>
      <c r="C57" s="80"/>
      <c r="D57" s="78" t="s">
        <v>51</v>
      </c>
      <c r="E57" s="30" t="s">
        <v>9</v>
      </c>
      <c r="F57" s="191">
        <f>H9</f>
        <v>0</v>
      </c>
      <c r="G57" s="40">
        <f>H56</f>
        <v>0</v>
      </c>
      <c r="H57" s="15">
        <f t="shared" si="3"/>
        <v>0</v>
      </c>
    </row>
    <row r="58" spans="1:8" x14ac:dyDescent="0.2">
      <c r="A58" s="9"/>
      <c r="C58" s="154"/>
      <c r="D58" s="155" t="s">
        <v>275</v>
      </c>
      <c r="E58" s="156"/>
      <c r="F58" s="157"/>
      <c r="G58" s="158"/>
      <c r="H58" s="159">
        <f>H57</f>
        <v>0</v>
      </c>
    </row>
    <row r="59" spans="1:8" ht="13.5" thickBot="1" x14ac:dyDescent="0.25">
      <c r="A59" s="9"/>
      <c r="C59" s="32"/>
      <c r="D59" s="21" t="s">
        <v>266</v>
      </c>
      <c r="E59" s="22"/>
      <c r="F59" s="23"/>
      <c r="G59" s="24"/>
      <c r="H59" s="140">
        <f>H56+H58</f>
        <v>0</v>
      </c>
    </row>
    <row r="60" spans="1:8" ht="13.5" thickBot="1" x14ac:dyDescent="0.25">
      <c r="A60" s="9"/>
      <c r="C60" s="19"/>
      <c r="D60" s="19"/>
      <c r="E60" s="19"/>
      <c r="F60" s="19"/>
      <c r="G60" s="19"/>
      <c r="H60" s="25"/>
    </row>
    <row r="61" spans="1:8" x14ac:dyDescent="0.2">
      <c r="A61" s="10"/>
      <c r="C61" s="59">
        <v>3</v>
      </c>
      <c r="D61" s="27" t="s">
        <v>192</v>
      </c>
      <c r="E61" s="65" t="s">
        <v>3</v>
      </c>
      <c r="F61" s="66" t="s">
        <v>4</v>
      </c>
      <c r="G61" s="28" t="s">
        <v>215</v>
      </c>
      <c r="H61" s="67" t="s">
        <v>216</v>
      </c>
    </row>
    <row r="62" spans="1:8" x14ac:dyDescent="0.2">
      <c r="A62" s="11"/>
      <c r="C62" s="12" t="s">
        <v>34</v>
      </c>
      <c r="D62" s="13" t="s">
        <v>120</v>
      </c>
      <c r="E62" s="14" t="s">
        <v>5</v>
      </c>
      <c r="F62" s="209"/>
      <c r="G62" s="79"/>
      <c r="H62" s="81">
        <f>F62*G62</f>
        <v>0</v>
      </c>
    </row>
    <row r="63" spans="1:8" x14ac:dyDescent="0.2">
      <c r="A63" s="11"/>
      <c r="C63" s="12" t="s">
        <v>35</v>
      </c>
      <c r="D63" s="13" t="s">
        <v>28</v>
      </c>
      <c r="E63" s="14" t="s">
        <v>5</v>
      </c>
      <c r="F63" s="209"/>
      <c r="G63" s="79"/>
      <c r="H63" s="81">
        <f>F63*G63</f>
        <v>0</v>
      </c>
    </row>
    <row r="64" spans="1:8" x14ac:dyDescent="0.2">
      <c r="A64" s="11"/>
      <c r="C64" s="12" t="s">
        <v>36</v>
      </c>
      <c r="D64" s="13" t="s">
        <v>161</v>
      </c>
      <c r="E64" s="14" t="s">
        <v>5</v>
      </c>
      <c r="F64" s="209"/>
      <c r="G64" s="79"/>
      <c r="H64" s="81">
        <f t="shared" ref="H64:H73" si="4">F64*G64</f>
        <v>0</v>
      </c>
    </row>
    <row r="65" spans="1:8" x14ac:dyDescent="0.2">
      <c r="A65" s="11"/>
      <c r="C65" s="12" t="s">
        <v>37</v>
      </c>
      <c r="D65" s="13" t="s">
        <v>31</v>
      </c>
      <c r="E65" s="14" t="s">
        <v>5</v>
      </c>
      <c r="F65" s="209"/>
      <c r="G65" s="79"/>
      <c r="H65" s="81">
        <f t="shared" si="4"/>
        <v>0</v>
      </c>
    </row>
    <row r="66" spans="1:8" x14ac:dyDescent="0.2">
      <c r="A66" s="11"/>
      <c r="C66" s="12" t="s">
        <v>38</v>
      </c>
      <c r="D66" s="13" t="s">
        <v>73</v>
      </c>
      <c r="E66" s="14" t="s">
        <v>77</v>
      </c>
      <c r="F66" s="209"/>
      <c r="G66" s="79"/>
      <c r="H66" s="81">
        <f>F66*G66</f>
        <v>0</v>
      </c>
    </row>
    <row r="67" spans="1:8" x14ac:dyDescent="0.2">
      <c r="A67" s="11"/>
      <c r="C67" s="12" t="s">
        <v>39</v>
      </c>
      <c r="D67" s="13" t="s">
        <v>119</v>
      </c>
      <c r="E67" s="14" t="s">
        <v>5</v>
      </c>
      <c r="F67" s="209"/>
      <c r="G67" s="79"/>
      <c r="H67" s="81">
        <f t="shared" si="4"/>
        <v>0</v>
      </c>
    </row>
    <row r="68" spans="1:8" x14ac:dyDescent="0.2">
      <c r="A68" s="11"/>
      <c r="C68" s="12" t="s">
        <v>41</v>
      </c>
      <c r="D68" s="13" t="s">
        <v>128</v>
      </c>
      <c r="E68" s="14" t="s">
        <v>5</v>
      </c>
      <c r="F68" s="209"/>
      <c r="G68" s="79"/>
      <c r="H68" s="81">
        <f t="shared" si="4"/>
        <v>0</v>
      </c>
    </row>
    <row r="69" spans="1:8" x14ac:dyDescent="0.2">
      <c r="A69" s="11"/>
      <c r="C69" s="12" t="s">
        <v>42</v>
      </c>
      <c r="D69" s="13" t="s">
        <v>129</v>
      </c>
      <c r="E69" s="14" t="s">
        <v>5</v>
      </c>
      <c r="F69" s="209"/>
      <c r="G69" s="79"/>
      <c r="H69" s="81">
        <f t="shared" si="4"/>
        <v>0</v>
      </c>
    </row>
    <row r="70" spans="1:8" x14ac:dyDescent="0.2">
      <c r="A70" s="11"/>
      <c r="C70" s="12" t="s">
        <v>43</v>
      </c>
      <c r="D70" s="13" t="s">
        <v>65</v>
      </c>
      <c r="E70" s="14" t="s">
        <v>5</v>
      </c>
      <c r="F70" s="209"/>
      <c r="G70" s="79"/>
      <c r="H70" s="81">
        <f t="shared" si="4"/>
        <v>0</v>
      </c>
    </row>
    <row r="71" spans="1:8" x14ac:dyDescent="0.2">
      <c r="A71" s="11"/>
      <c r="C71" s="12" t="s">
        <v>66</v>
      </c>
      <c r="D71" s="13"/>
      <c r="E71" s="14"/>
      <c r="F71" s="209"/>
      <c r="G71" s="79"/>
      <c r="H71" s="81">
        <f t="shared" si="4"/>
        <v>0</v>
      </c>
    </row>
    <row r="72" spans="1:8" x14ac:dyDescent="0.2">
      <c r="A72" s="11"/>
      <c r="C72" s="12" t="s">
        <v>67</v>
      </c>
      <c r="D72" s="13"/>
      <c r="E72" s="14"/>
      <c r="F72" s="209"/>
      <c r="G72" s="79"/>
      <c r="H72" s="81">
        <f t="shared" si="4"/>
        <v>0</v>
      </c>
    </row>
    <row r="73" spans="1:8" x14ac:dyDescent="0.2">
      <c r="A73" s="11"/>
      <c r="C73" s="12" t="s">
        <v>68</v>
      </c>
      <c r="D73" s="13"/>
      <c r="E73" s="14"/>
      <c r="F73" s="209"/>
      <c r="G73" s="79"/>
      <c r="H73" s="81">
        <f t="shared" si="4"/>
        <v>0</v>
      </c>
    </row>
    <row r="74" spans="1:8" x14ac:dyDescent="0.2">
      <c r="A74" s="9"/>
      <c r="C74" s="12" t="s">
        <v>69</v>
      </c>
      <c r="D74" s="13" t="s">
        <v>32</v>
      </c>
      <c r="E74" s="14" t="s">
        <v>25</v>
      </c>
      <c r="F74" s="209"/>
      <c r="G74" s="79"/>
      <c r="H74" s="81">
        <f t="shared" ref="H74:H76" si="5">F74*G74</f>
        <v>0</v>
      </c>
    </row>
    <row r="75" spans="1:8" x14ac:dyDescent="0.2">
      <c r="A75" s="9"/>
      <c r="C75" s="154"/>
      <c r="D75" s="155" t="s">
        <v>271</v>
      </c>
      <c r="E75" s="156"/>
      <c r="F75" s="157"/>
      <c r="G75" s="158"/>
      <c r="H75" s="159">
        <f>SUM(H62:H74)</f>
        <v>0</v>
      </c>
    </row>
    <row r="76" spans="1:8" x14ac:dyDescent="0.2">
      <c r="A76" s="9"/>
      <c r="C76" s="80"/>
      <c r="D76" s="78" t="s">
        <v>213</v>
      </c>
      <c r="E76" s="30" t="s">
        <v>214</v>
      </c>
      <c r="F76" s="191">
        <f>H9</f>
        <v>0</v>
      </c>
      <c r="G76" s="40">
        <f>H75</f>
        <v>0</v>
      </c>
      <c r="H76" s="18">
        <f t="shared" si="5"/>
        <v>0</v>
      </c>
    </row>
    <row r="77" spans="1:8" x14ac:dyDescent="0.2">
      <c r="A77" s="9"/>
      <c r="C77" s="154"/>
      <c r="D77" s="155" t="s">
        <v>272</v>
      </c>
      <c r="E77" s="156"/>
      <c r="F77" s="157"/>
      <c r="G77" s="158"/>
      <c r="H77" s="159">
        <f>H76</f>
        <v>0</v>
      </c>
    </row>
    <row r="78" spans="1:8" ht="13.5" thickBot="1" x14ac:dyDescent="0.25">
      <c r="A78" s="9"/>
      <c r="C78" s="32"/>
      <c r="D78" s="21" t="s">
        <v>273</v>
      </c>
      <c r="E78" s="22"/>
      <c r="F78" s="23"/>
      <c r="G78" s="24"/>
      <c r="H78" s="140">
        <f>H75+H77</f>
        <v>0</v>
      </c>
    </row>
    <row r="79" spans="1:8" ht="13.5" thickBot="1" x14ac:dyDescent="0.25">
      <c r="A79" s="9"/>
      <c r="C79" s="19"/>
      <c r="D79" s="19"/>
      <c r="E79" s="19"/>
      <c r="F79" s="19"/>
      <c r="G79" s="19"/>
      <c r="H79" s="25"/>
    </row>
    <row r="80" spans="1:8" x14ac:dyDescent="0.2">
      <c r="A80" s="9"/>
      <c r="C80" s="60">
        <v>4</v>
      </c>
      <c r="D80" s="27" t="s">
        <v>286</v>
      </c>
      <c r="E80" s="65" t="s">
        <v>3</v>
      </c>
      <c r="F80" s="66" t="s">
        <v>4</v>
      </c>
      <c r="G80" s="28" t="s">
        <v>215</v>
      </c>
      <c r="H80" s="67" t="s">
        <v>216</v>
      </c>
    </row>
    <row r="81" spans="1:8" ht="12.75" customHeight="1" x14ac:dyDescent="0.2">
      <c r="A81" s="9"/>
      <c r="C81" s="12" t="s">
        <v>137</v>
      </c>
      <c r="D81" s="13" t="s">
        <v>150</v>
      </c>
      <c r="E81" s="14" t="s">
        <v>151</v>
      </c>
      <c r="F81" s="209"/>
      <c r="G81" s="79"/>
      <c r="H81" s="81">
        <f t="shared" ref="H81" si="6">F81*G81</f>
        <v>0</v>
      </c>
    </row>
    <row r="82" spans="1:8" ht="12.75" customHeight="1" x14ac:dyDescent="0.2">
      <c r="A82" s="9"/>
      <c r="C82" s="12" t="s">
        <v>138</v>
      </c>
      <c r="D82" s="13" t="s">
        <v>152</v>
      </c>
      <c r="E82" s="14" t="s">
        <v>5</v>
      </c>
      <c r="F82" s="209"/>
      <c r="G82" s="79"/>
      <c r="H82" s="81">
        <f t="shared" ref="H82:H94" si="7">F82*G82</f>
        <v>0</v>
      </c>
    </row>
    <row r="83" spans="1:8" ht="12.75" customHeight="1" x14ac:dyDescent="0.2">
      <c r="A83" s="9"/>
      <c r="C83" s="12" t="s">
        <v>139</v>
      </c>
      <c r="D83" s="13" t="s">
        <v>154</v>
      </c>
      <c r="E83" s="14" t="s">
        <v>5</v>
      </c>
      <c r="F83" s="209"/>
      <c r="G83" s="79"/>
      <c r="H83" s="81">
        <f t="shared" si="7"/>
        <v>0</v>
      </c>
    </row>
    <row r="84" spans="1:8" ht="12.75" customHeight="1" x14ac:dyDescent="0.2">
      <c r="A84" s="9"/>
      <c r="C84" s="12" t="s">
        <v>140</v>
      </c>
      <c r="D84" s="13" t="s">
        <v>153</v>
      </c>
      <c r="E84" s="14" t="s">
        <v>5</v>
      </c>
      <c r="F84" s="209"/>
      <c r="G84" s="79"/>
      <c r="H84" s="81">
        <f t="shared" si="7"/>
        <v>0</v>
      </c>
    </row>
    <row r="85" spans="1:8" ht="12.75" customHeight="1" x14ac:dyDescent="0.2">
      <c r="A85" s="9"/>
      <c r="C85" s="12" t="s">
        <v>141</v>
      </c>
      <c r="D85" s="13" t="s">
        <v>155</v>
      </c>
      <c r="E85" s="14" t="s">
        <v>5</v>
      </c>
      <c r="F85" s="209"/>
      <c r="G85" s="79"/>
      <c r="H85" s="81">
        <f t="shared" si="7"/>
        <v>0</v>
      </c>
    </row>
    <row r="86" spans="1:8" ht="12.75" customHeight="1" x14ac:dyDescent="0.2">
      <c r="A86" s="9"/>
      <c r="C86" s="12" t="s">
        <v>142</v>
      </c>
      <c r="D86" s="13" t="s">
        <v>156</v>
      </c>
      <c r="E86" s="14" t="s">
        <v>5</v>
      </c>
      <c r="F86" s="209"/>
      <c r="G86" s="79"/>
      <c r="H86" s="81">
        <f t="shared" si="7"/>
        <v>0</v>
      </c>
    </row>
    <row r="87" spans="1:8" x14ac:dyDescent="0.2">
      <c r="A87" s="9"/>
      <c r="C87" s="12" t="s">
        <v>143</v>
      </c>
      <c r="D87" s="13" t="s">
        <v>157</v>
      </c>
      <c r="E87" s="14" t="s">
        <v>5</v>
      </c>
      <c r="F87" s="209"/>
      <c r="G87" s="79"/>
      <c r="H87" s="81">
        <f t="shared" si="7"/>
        <v>0</v>
      </c>
    </row>
    <row r="88" spans="1:8" ht="12.75" customHeight="1" x14ac:dyDescent="0.2">
      <c r="A88" s="9"/>
      <c r="C88" s="12" t="s">
        <v>144</v>
      </c>
      <c r="D88" s="13" t="s">
        <v>158</v>
      </c>
      <c r="E88" s="14" t="s">
        <v>5</v>
      </c>
      <c r="F88" s="209"/>
      <c r="G88" s="79"/>
      <c r="H88" s="81">
        <f t="shared" si="7"/>
        <v>0</v>
      </c>
    </row>
    <row r="89" spans="1:8" ht="12.75" customHeight="1" x14ac:dyDescent="0.2">
      <c r="A89" s="9"/>
      <c r="C89" s="12" t="s">
        <v>145</v>
      </c>
      <c r="D89" s="13" t="s">
        <v>318</v>
      </c>
      <c r="E89" s="14" t="s">
        <v>77</v>
      </c>
      <c r="F89" s="209"/>
      <c r="G89" s="79"/>
      <c r="H89" s="81">
        <f t="shared" si="7"/>
        <v>0</v>
      </c>
    </row>
    <row r="90" spans="1:8" ht="12.75" customHeight="1" x14ac:dyDescent="0.2">
      <c r="A90" s="9"/>
      <c r="C90" s="12" t="s">
        <v>146</v>
      </c>
      <c r="D90" s="13" t="s">
        <v>319</v>
      </c>
      <c r="E90" s="14" t="s">
        <v>5</v>
      </c>
      <c r="F90" s="209"/>
      <c r="G90" s="79"/>
      <c r="H90" s="81">
        <f t="shared" si="7"/>
        <v>0</v>
      </c>
    </row>
    <row r="91" spans="1:8" ht="12.75" customHeight="1" x14ac:dyDescent="0.2">
      <c r="A91" s="9"/>
      <c r="C91" s="12" t="s">
        <v>147</v>
      </c>
      <c r="D91" s="13"/>
      <c r="E91" s="14"/>
      <c r="F91" s="209"/>
      <c r="G91" s="79"/>
      <c r="H91" s="81">
        <f t="shared" si="7"/>
        <v>0</v>
      </c>
    </row>
    <row r="92" spans="1:8" ht="12.75" customHeight="1" x14ac:dyDescent="0.2">
      <c r="A92" s="9"/>
      <c r="C92" s="12" t="s">
        <v>148</v>
      </c>
      <c r="D92" s="13"/>
      <c r="E92" s="14"/>
      <c r="F92" s="209"/>
      <c r="G92" s="79"/>
      <c r="H92" s="81">
        <f t="shared" si="7"/>
        <v>0</v>
      </c>
    </row>
    <row r="93" spans="1:8" ht="12.75" customHeight="1" x14ac:dyDescent="0.2">
      <c r="A93" s="9"/>
      <c r="C93" s="12" t="s">
        <v>149</v>
      </c>
      <c r="D93" s="13"/>
      <c r="E93" s="14"/>
      <c r="F93" s="209"/>
      <c r="G93" s="79"/>
      <c r="H93" s="81">
        <f t="shared" si="7"/>
        <v>0</v>
      </c>
    </row>
    <row r="94" spans="1:8" x14ac:dyDescent="0.2">
      <c r="A94" s="9"/>
      <c r="C94" s="12" t="s">
        <v>331</v>
      </c>
      <c r="D94" s="13" t="s">
        <v>50</v>
      </c>
      <c r="E94" s="14" t="s">
        <v>5</v>
      </c>
      <c r="F94" s="209"/>
      <c r="G94" s="79"/>
      <c r="H94" s="81">
        <f t="shared" si="7"/>
        <v>0</v>
      </c>
    </row>
    <row r="95" spans="1:8" x14ac:dyDescent="0.2">
      <c r="A95" s="31"/>
      <c r="C95" s="154"/>
      <c r="D95" s="155" t="s">
        <v>208</v>
      </c>
      <c r="E95" s="156"/>
      <c r="F95" s="157"/>
      <c r="G95" s="158"/>
      <c r="H95" s="159">
        <f>SUM(H81:H94)</f>
        <v>0</v>
      </c>
    </row>
    <row r="96" spans="1:8" x14ac:dyDescent="0.2">
      <c r="A96" s="31"/>
      <c r="C96" s="80"/>
      <c r="D96" s="78" t="s">
        <v>209</v>
      </c>
      <c r="E96" s="30" t="s">
        <v>5</v>
      </c>
      <c r="F96" s="191">
        <f>H9</f>
        <v>0</v>
      </c>
      <c r="G96" s="40">
        <f>H95</f>
        <v>0</v>
      </c>
      <c r="H96" s="18">
        <f>G96*F96</f>
        <v>0</v>
      </c>
    </row>
    <row r="97" spans="1:8" x14ac:dyDescent="0.2">
      <c r="A97" s="9"/>
      <c r="C97" s="154"/>
      <c r="D97" s="155" t="s">
        <v>210</v>
      </c>
      <c r="E97" s="156"/>
      <c r="F97" s="157"/>
      <c r="G97" s="158"/>
      <c r="H97" s="159">
        <f>H96</f>
        <v>0</v>
      </c>
    </row>
    <row r="98" spans="1:8" ht="13.5" thickBot="1" x14ac:dyDescent="0.25">
      <c r="A98" s="9"/>
      <c r="C98" s="32"/>
      <c r="D98" s="21" t="s">
        <v>267</v>
      </c>
      <c r="E98" s="22"/>
      <c r="F98" s="23"/>
      <c r="G98" s="24"/>
      <c r="H98" s="140">
        <f>H95+H97</f>
        <v>0</v>
      </c>
    </row>
    <row r="99" spans="1:8" ht="13.5" thickBot="1" x14ac:dyDescent="0.25">
      <c r="A99" s="9"/>
      <c r="C99" s="19"/>
      <c r="D99" s="19"/>
      <c r="E99" s="19"/>
      <c r="F99" s="19"/>
      <c r="G99" s="19"/>
      <c r="H99" s="33"/>
    </row>
    <row r="100" spans="1:8" x14ac:dyDescent="0.2">
      <c r="A100" s="9"/>
      <c r="C100" s="148">
        <v>5</v>
      </c>
      <c r="D100" s="27" t="s">
        <v>305</v>
      </c>
      <c r="E100" s="65" t="s">
        <v>3</v>
      </c>
      <c r="F100" s="66" t="s">
        <v>4</v>
      </c>
      <c r="G100" s="28" t="s">
        <v>215</v>
      </c>
      <c r="H100" s="67" t="s">
        <v>216</v>
      </c>
    </row>
    <row r="101" spans="1:8" ht="12.75" customHeight="1" x14ac:dyDescent="0.2">
      <c r="A101" s="9"/>
      <c r="C101" s="12" t="s">
        <v>307</v>
      </c>
      <c r="D101" s="13" t="s">
        <v>381</v>
      </c>
      <c r="E101" s="14" t="s">
        <v>5</v>
      </c>
      <c r="F101" s="209"/>
      <c r="G101" s="79"/>
      <c r="H101" s="81">
        <f t="shared" ref="H101" si="8">F101*G101</f>
        <v>0</v>
      </c>
    </row>
    <row r="102" spans="1:8" ht="12.75" customHeight="1" x14ac:dyDescent="0.2">
      <c r="A102" s="9"/>
      <c r="C102" s="12" t="s">
        <v>308</v>
      </c>
      <c r="D102" s="13" t="s">
        <v>306</v>
      </c>
      <c r="E102" s="14" t="s">
        <v>5</v>
      </c>
      <c r="F102" s="209"/>
      <c r="G102" s="79"/>
      <c r="H102" s="81">
        <f t="shared" ref="H102:H106" si="9">F102*G102</f>
        <v>0</v>
      </c>
    </row>
    <row r="103" spans="1:8" ht="12.75" customHeight="1" x14ac:dyDescent="0.2">
      <c r="A103" s="9"/>
      <c r="C103" s="12" t="s">
        <v>309</v>
      </c>
      <c r="D103" s="13"/>
      <c r="E103" s="14"/>
      <c r="F103" s="209"/>
      <c r="G103" s="79"/>
      <c r="H103" s="81">
        <f t="shared" si="9"/>
        <v>0</v>
      </c>
    </row>
    <row r="104" spans="1:8" ht="12.75" customHeight="1" x14ac:dyDescent="0.2">
      <c r="A104" s="9"/>
      <c r="C104" s="12" t="s">
        <v>310</v>
      </c>
      <c r="D104" s="13"/>
      <c r="E104" s="14"/>
      <c r="F104" s="209"/>
      <c r="G104" s="79"/>
      <c r="H104" s="81">
        <f t="shared" si="9"/>
        <v>0</v>
      </c>
    </row>
    <row r="105" spans="1:8" ht="12.75" customHeight="1" x14ac:dyDescent="0.2">
      <c r="A105" s="9"/>
      <c r="C105" s="12" t="s">
        <v>329</v>
      </c>
      <c r="D105" s="13"/>
      <c r="E105" s="14"/>
      <c r="F105" s="209"/>
      <c r="G105" s="79"/>
      <c r="H105" s="81">
        <f t="shared" si="9"/>
        <v>0</v>
      </c>
    </row>
    <row r="106" spans="1:8" x14ac:dyDescent="0.2">
      <c r="A106" s="9"/>
      <c r="C106" s="12" t="s">
        <v>330</v>
      </c>
      <c r="D106" s="13" t="s">
        <v>50</v>
      </c>
      <c r="E106" s="14" t="s">
        <v>5</v>
      </c>
      <c r="F106" s="209"/>
      <c r="G106" s="79"/>
      <c r="H106" s="81">
        <f t="shared" si="9"/>
        <v>0</v>
      </c>
    </row>
    <row r="107" spans="1:8" x14ac:dyDescent="0.2">
      <c r="A107" s="31"/>
      <c r="C107" s="154"/>
      <c r="D107" s="155" t="s">
        <v>311</v>
      </c>
      <c r="E107" s="156"/>
      <c r="F107" s="157"/>
      <c r="G107" s="158"/>
      <c r="H107" s="159">
        <f>SUM(H101:H106)</f>
        <v>0</v>
      </c>
    </row>
    <row r="108" spans="1:8" x14ac:dyDescent="0.2">
      <c r="A108" s="31"/>
      <c r="C108" s="80"/>
      <c r="D108" s="78" t="s">
        <v>209</v>
      </c>
      <c r="E108" s="30" t="s">
        <v>5</v>
      </c>
      <c r="F108" s="191">
        <f>H9</f>
        <v>0</v>
      </c>
      <c r="G108" s="40">
        <f>H107</f>
        <v>0</v>
      </c>
      <c r="H108" s="15">
        <f>G108</f>
        <v>0</v>
      </c>
    </row>
    <row r="109" spans="1:8" x14ac:dyDescent="0.2">
      <c r="A109" s="9"/>
      <c r="C109" s="154"/>
      <c r="D109" s="155" t="s">
        <v>312</v>
      </c>
      <c r="E109" s="156"/>
      <c r="F109" s="157"/>
      <c r="G109" s="158"/>
      <c r="H109" s="159">
        <f>H108</f>
        <v>0</v>
      </c>
    </row>
    <row r="110" spans="1:8" ht="13.5" thickBot="1" x14ac:dyDescent="0.25">
      <c r="A110" s="9"/>
      <c r="C110" s="32"/>
      <c r="D110" s="21" t="s">
        <v>313</v>
      </c>
      <c r="E110" s="22"/>
      <c r="F110" s="23"/>
      <c r="G110" s="24"/>
      <c r="H110" s="140">
        <f>H107+H109</f>
        <v>0</v>
      </c>
    </row>
    <row r="111" spans="1:8" ht="13.5" thickBot="1" x14ac:dyDescent="0.25">
      <c r="A111" s="9"/>
      <c r="C111" s="19"/>
      <c r="D111" s="19"/>
      <c r="E111" s="19"/>
      <c r="F111" s="19"/>
      <c r="G111" s="19"/>
      <c r="H111" s="33"/>
    </row>
    <row r="112" spans="1:8" x14ac:dyDescent="0.2">
      <c r="A112" s="35"/>
      <c r="C112" s="371" t="s">
        <v>198</v>
      </c>
      <c r="D112" s="372"/>
      <c r="E112" s="372"/>
      <c r="F112" s="372"/>
      <c r="G112" s="372"/>
      <c r="H112" s="373"/>
    </row>
    <row r="113" spans="1:8" ht="15" hidden="1" x14ac:dyDescent="0.2">
      <c r="A113" s="35"/>
      <c r="C113" s="96"/>
      <c r="D113" s="85" t="s">
        <v>199</v>
      </c>
      <c r="E113" s="90"/>
      <c r="F113" s="91"/>
      <c r="G113" s="86"/>
      <c r="H113" s="97">
        <f>SUM(F20:F33)</f>
        <v>0</v>
      </c>
    </row>
    <row r="114" spans="1:8" x14ac:dyDescent="0.2">
      <c r="A114" s="35"/>
      <c r="C114" s="92"/>
      <c r="D114" s="87" t="s">
        <v>52</v>
      </c>
      <c r="E114" s="85"/>
      <c r="F114" s="88"/>
      <c r="G114" s="89"/>
      <c r="H114" s="93">
        <f>H35+H56+H75+H95+H107</f>
        <v>0</v>
      </c>
    </row>
    <row r="115" spans="1:8" x14ac:dyDescent="0.2">
      <c r="A115" s="35"/>
      <c r="C115" s="92"/>
      <c r="D115" s="87" t="s">
        <v>53</v>
      </c>
      <c r="E115" s="85"/>
      <c r="F115" s="88"/>
      <c r="G115" s="89"/>
      <c r="H115" s="93">
        <f>H37+H58+H77+H97+H109</f>
        <v>0</v>
      </c>
    </row>
    <row r="116" spans="1:8" x14ac:dyDescent="0.2">
      <c r="A116" s="36"/>
      <c r="C116" s="92"/>
      <c r="D116" s="87" t="s">
        <v>206</v>
      </c>
      <c r="E116" s="85"/>
      <c r="F116" s="88"/>
      <c r="G116" s="89"/>
      <c r="H116" s="93">
        <f>SUM(H114:H115)</f>
        <v>0</v>
      </c>
    </row>
    <row r="117" spans="1:8" ht="15.75" thickBot="1" x14ac:dyDescent="0.3">
      <c r="A117" s="7"/>
      <c r="C117" s="100"/>
      <c r="D117" s="99" t="s">
        <v>207</v>
      </c>
      <c r="E117" s="95"/>
      <c r="F117" s="95"/>
      <c r="G117" s="95"/>
      <c r="H117" s="146">
        <f>IFERROR(H116/H17,0)</f>
        <v>0</v>
      </c>
    </row>
    <row r="118" spans="1:8" x14ac:dyDescent="0.2">
      <c r="A118" s="7"/>
    </row>
    <row r="119" spans="1:8" x14ac:dyDescent="0.2">
      <c r="A119" s="7"/>
      <c r="B119" s="7"/>
      <c r="C119" s="7"/>
      <c r="D119" s="19"/>
      <c r="E119" s="37"/>
      <c r="F119" s="3"/>
      <c r="G119" s="3"/>
    </row>
    <row r="120" spans="1:8" x14ac:dyDescent="0.2">
      <c r="A120" s="7"/>
      <c r="B120" s="7"/>
      <c r="C120" s="7"/>
      <c r="D120" s="19"/>
      <c r="E120" s="37"/>
      <c r="F120" s="38"/>
      <c r="G120" s="3"/>
      <c r="H120" s="34"/>
    </row>
    <row r="121" spans="1:8" x14ac:dyDescent="0.2">
      <c r="A121" s="7"/>
      <c r="B121" s="7"/>
      <c r="C121" s="7"/>
    </row>
    <row r="122" spans="1:8" x14ac:dyDescent="0.2">
      <c r="A122" s="7"/>
      <c r="B122" s="7"/>
      <c r="C122" s="7"/>
    </row>
    <row r="123" spans="1:8" x14ac:dyDescent="0.2">
      <c r="A123" s="7"/>
      <c r="B123" s="7"/>
      <c r="C123" s="7"/>
    </row>
    <row r="124" spans="1:8" x14ac:dyDescent="0.2">
      <c r="A124" s="7"/>
      <c r="B124" s="7"/>
      <c r="C124" s="7"/>
    </row>
    <row r="126" spans="1:8" x14ac:dyDescent="0.2">
      <c r="E126" s="1"/>
    </row>
  </sheetData>
  <mergeCells count="18">
    <mergeCell ref="C112:H112"/>
    <mergeCell ref="B18:H18"/>
    <mergeCell ref="C2:H2"/>
    <mergeCell ref="F14:G14"/>
    <mergeCell ref="F15:G15"/>
    <mergeCell ref="F16:G16"/>
    <mergeCell ref="F17:G17"/>
    <mergeCell ref="F13:H13"/>
    <mergeCell ref="E11:F11"/>
    <mergeCell ref="D4:F4"/>
    <mergeCell ref="E8:F8"/>
    <mergeCell ref="E9:F9"/>
    <mergeCell ref="E10:F10"/>
    <mergeCell ref="E5:F5"/>
    <mergeCell ref="E6:F6"/>
    <mergeCell ref="E7:F7"/>
    <mergeCell ref="H5:H8"/>
    <mergeCell ref="D13:E13"/>
  </mergeCells>
  <dataValidations count="1">
    <dataValidation type="list" allowBlank="1" showInputMessage="1" showErrorMessage="1" sqref="E81">
      <formula1>"Falor facturado,Etiqueta"</formula1>
    </dataValidation>
  </dataValidations>
  <printOptions horizontalCentered="1" verticalCentered="1"/>
  <pageMargins left="0.70866141732283472" right="0.70866141732283472" top="0" bottom="0" header="0.31496062992125984" footer="0.31496062992125984"/>
  <pageSetup scale="50" orientation="portrait" r:id="rId1"/>
  <headerFooter>
    <oddHeader>&amp;C&amp;"Arial,Negrita"
&amp;11
&amp;F</oddHeader>
    <oddFooter>&amp;CFederación Nacional de productores de panela - Fedepanela
Programa Comercial</oddFooter>
  </headerFooter>
  <colBreaks count="1" manualBreakCount="1">
    <brk id="1" min="17" max="162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theme="3" tint="-0.249977111117893"/>
  </sheetPr>
  <dimension ref="A1:DM122"/>
  <sheetViews>
    <sheetView showGridLines="0" view="pageBreakPreview" topLeftCell="A100" zoomScale="115" zoomScaleNormal="115" zoomScaleSheetLayoutView="115" workbookViewId="0">
      <selection activeCell="F54" sqref="F54"/>
    </sheetView>
  </sheetViews>
  <sheetFormatPr baseColWidth="10" defaultRowHeight="12.75" x14ac:dyDescent="0.2"/>
  <cols>
    <col min="1" max="2" width="2.140625" customWidth="1"/>
    <col min="3" max="3" width="7.42578125" style="3" customWidth="1"/>
    <col min="4" max="4" width="44.7109375" style="3" customWidth="1"/>
    <col min="5" max="5" width="16.42578125" style="3" customWidth="1"/>
    <col min="6" max="6" width="16.28515625" style="3" customWidth="1"/>
    <col min="7" max="7" width="17.42578125" style="61" customWidth="1"/>
    <col min="8" max="8" width="19.28515625" style="3" customWidth="1"/>
    <col min="9" max="9" width="17.7109375" style="3" hidden="1" customWidth="1"/>
    <col min="10" max="10" width="16.28515625" hidden="1" customWidth="1"/>
    <col min="11" max="11" width="2.140625" customWidth="1"/>
  </cols>
  <sheetData>
    <row r="1" spans="1:117" ht="12" customHeight="1" thickBot="1" x14ac:dyDescent="0.25"/>
    <row r="2" spans="1:117" ht="16.5" thickBot="1" x14ac:dyDescent="0.3">
      <c r="C2" s="388" t="s">
        <v>163</v>
      </c>
      <c r="D2" s="389"/>
      <c r="E2" s="389"/>
      <c r="F2" s="389"/>
      <c r="G2" s="389"/>
      <c r="H2" s="390"/>
      <c r="I2" s="214"/>
    </row>
    <row r="3" spans="1:117" ht="13.5" thickBot="1" x14ac:dyDescent="0.25">
      <c r="C3"/>
      <c r="D3"/>
      <c r="E3"/>
      <c r="F3"/>
      <c r="G3"/>
      <c r="H3"/>
      <c r="I3"/>
    </row>
    <row r="4" spans="1:117" ht="12.75" customHeight="1" thickBot="1" x14ac:dyDescent="0.3">
      <c r="A4" s="8"/>
      <c r="C4"/>
      <c r="D4" s="359" t="s">
        <v>302</v>
      </c>
      <c r="E4" s="360"/>
      <c r="F4" s="361"/>
      <c r="G4"/>
      <c r="H4"/>
      <c r="I4"/>
    </row>
    <row r="5" spans="1:117" s="150" customFormat="1" ht="12.75" customHeight="1" x14ac:dyDescent="0.2">
      <c r="A5" s="152"/>
      <c r="B5"/>
      <c r="C5"/>
      <c r="D5" s="161" t="s">
        <v>288</v>
      </c>
      <c r="E5" s="367"/>
      <c r="F5" s="368"/>
      <c r="G5" s="4"/>
      <c r="H5" s="302" t="s">
        <v>1</v>
      </c>
      <c r="I5"/>
      <c r="J5" s="382" t="s">
        <v>363</v>
      </c>
      <c r="K5" s="4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  <c r="CT5" s="149"/>
      <c r="CU5" s="149"/>
      <c r="CV5" s="149"/>
      <c r="CW5" s="149"/>
      <c r="CX5" s="149"/>
      <c r="CY5" s="149"/>
      <c r="CZ5" s="149"/>
      <c r="DA5" s="149"/>
      <c r="DB5" s="149"/>
      <c r="DC5" s="149"/>
      <c r="DD5" s="149"/>
      <c r="DE5" s="149"/>
      <c r="DF5" s="149"/>
      <c r="DG5" s="149"/>
      <c r="DH5" s="149"/>
      <c r="DI5" s="149"/>
      <c r="DJ5" s="149"/>
      <c r="DK5" s="149"/>
      <c r="DL5" s="149"/>
      <c r="DM5" s="149"/>
    </row>
    <row r="6" spans="1:117" s="150" customFormat="1" ht="12.75" customHeight="1" x14ac:dyDescent="0.2">
      <c r="A6" s="152"/>
      <c r="B6"/>
      <c r="C6"/>
      <c r="D6" s="162" t="s">
        <v>289</v>
      </c>
      <c r="E6" s="365">
        <f>'Producción mieles'!E6</f>
        <v>0</v>
      </c>
      <c r="F6" s="366"/>
      <c r="G6" s="4"/>
      <c r="H6" s="303"/>
      <c r="I6"/>
      <c r="J6" s="383"/>
      <c r="K6" s="4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  <c r="CT6" s="149"/>
      <c r="CU6" s="149"/>
      <c r="CV6" s="149"/>
      <c r="CW6" s="149"/>
      <c r="CX6" s="149"/>
      <c r="CY6" s="149"/>
      <c r="CZ6" s="149"/>
      <c r="DA6" s="149"/>
      <c r="DB6" s="149"/>
      <c r="DC6" s="149"/>
      <c r="DD6" s="149"/>
      <c r="DE6" s="149"/>
      <c r="DF6" s="149"/>
      <c r="DG6" s="149"/>
      <c r="DH6" s="149"/>
      <c r="DI6" s="149"/>
      <c r="DJ6" s="149"/>
      <c r="DK6" s="149"/>
      <c r="DL6" s="149"/>
      <c r="DM6" s="149"/>
    </row>
    <row r="7" spans="1:117" s="150" customFormat="1" ht="12.75" customHeight="1" x14ac:dyDescent="0.2">
      <c r="A7" s="152"/>
      <c r="B7"/>
      <c r="C7"/>
      <c r="D7" s="162" t="s">
        <v>290</v>
      </c>
      <c r="E7" s="365">
        <f>'Producción mieles'!E7</f>
        <v>0</v>
      </c>
      <c r="F7" s="366"/>
      <c r="G7" s="4"/>
      <c r="H7" s="303"/>
      <c r="I7"/>
      <c r="J7" s="224" t="s">
        <v>375</v>
      </c>
      <c r="K7" s="4"/>
      <c r="L7" s="149" t="s">
        <v>287</v>
      </c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  <c r="CT7" s="149"/>
      <c r="CU7" s="149"/>
      <c r="CV7" s="149"/>
      <c r="CW7" s="149"/>
      <c r="CX7" s="149"/>
      <c r="CY7" s="149"/>
      <c r="CZ7" s="149"/>
      <c r="DA7" s="149"/>
      <c r="DB7" s="149"/>
      <c r="DC7" s="149"/>
      <c r="DD7" s="149"/>
      <c r="DE7" s="149"/>
      <c r="DF7" s="149"/>
      <c r="DG7" s="149"/>
      <c r="DH7" s="149"/>
      <c r="DI7" s="149"/>
      <c r="DJ7" s="149"/>
      <c r="DK7" s="149"/>
      <c r="DL7" s="149"/>
      <c r="DM7" s="149"/>
    </row>
    <row r="8" spans="1:117" s="150" customFormat="1" ht="12.75" customHeight="1" x14ac:dyDescent="0.2">
      <c r="A8" s="152"/>
      <c r="B8"/>
      <c r="C8"/>
      <c r="D8" s="162" t="s">
        <v>291</v>
      </c>
      <c r="E8" s="365">
        <f>'Producción mieles'!E8</f>
        <v>0</v>
      </c>
      <c r="F8" s="366"/>
      <c r="G8" s="4"/>
      <c r="H8" s="303"/>
      <c r="I8"/>
      <c r="J8" s="4"/>
      <c r="K8" s="4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9"/>
      <c r="CU8" s="149"/>
      <c r="CV8" s="149"/>
      <c r="CW8" s="149"/>
      <c r="CX8" s="149"/>
      <c r="CY8" s="149"/>
      <c r="CZ8" s="149"/>
      <c r="DA8" s="149"/>
      <c r="DB8" s="149"/>
      <c r="DC8" s="149"/>
      <c r="DD8" s="149"/>
      <c r="DE8" s="149"/>
      <c r="DF8" s="149"/>
      <c r="DG8" s="149"/>
      <c r="DH8" s="149"/>
      <c r="DI8" s="149"/>
      <c r="DJ8" s="149"/>
      <c r="DK8" s="149"/>
      <c r="DL8" s="149"/>
      <c r="DM8" s="149"/>
    </row>
    <row r="9" spans="1:117" s="150" customFormat="1" ht="12.75" customHeight="1" thickBot="1" x14ac:dyDescent="0.25">
      <c r="A9" s="152"/>
      <c r="B9"/>
      <c r="C9"/>
      <c r="D9" s="162" t="s">
        <v>292</v>
      </c>
      <c r="E9" s="365">
        <f>'Producción mieles'!E9</f>
        <v>0</v>
      </c>
      <c r="F9" s="366"/>
      <c r="G9" s="4"/>
      <c r="H9" s="210">
        <v>0.05</v>
      </c>
      <c r="I9"/>
      <c r="J9" s="4"/>
      <c r="K9" s="4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  <c r="DM9" s="149"/>
    </row>
    <row r="10" spans="1:117" s="150" customFormat="1" ht="12.75" customHeight="1" x14ac:dyDescent="0.2">
      <c r="A10" s="152"/>
      <c r="B10"/>
      <c r="C10"/>
      <c r="D10" s="164" t="s">
        <v>303</v>
      </c>
      <c r="E10" s="365">
        <f>'Producción mieles'!E10</f>
        <v>0</v>
      </c>
      <c r="F10" s="366"/>
      <c r="G10" s="4"/>
      <c r="H10" s="4"/>
      <c r="I10" s="4"/>
      <c r="J10" s="4"/>
      <c r="K10" s="4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  <c r="CT10" s="149"/>
      <c r="CU10" s="149"/>
      <c r="CV10" s="149"/>
      <c r="CW10" s="149"/>
      <c r="CX10" s="149"/>
      <c r="CY10" s="149"/>
      <c r="CZ10" s="149"/>
      <c r="DA10" s="149"/>
      <c r="DB10" s="149"/>
      <c r="DC10" s="149"/>
      <c r="DD10" s="149"/>
      <c r="DE10" s="149"/>
      <c r="DF10" s="149"/>
      <c r="DG10" s="149"/>
      <c r="DH10" s="149"/>
      <c r="DI10" s="149"/>
      <c r="DJ10" s="149"/>
      <c r="DK10" s="149"/>
      <c r="DL10" s="149"/>
      <c r="DM10" s="149"/>
    </row>
    <row r="11" spans="1:117" s="150" customFormat="1" ht="12.75" customHeight="1" thickBot="1" x14ac:dyDescent="0.25">
      <c r="A11" s="152"/>
      <c r="B11"/>
      <c r="C11"/>
      <c r="D11" s="163" t="s">
        <v>293</v>
      </c>
      <c r="E11" s="362">
        <f>'Producción mieles'!E11</f>
        <v>0</v>
      </c>
      <c r="F11" s="363"/>
      <c r="G11" s="4"/>
      <c r="H11" s="4"/>
      <c r="I11" s="4"/>
      <c r="J11" s="4"/>
      <c r="K11" s="4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  <c r="CT11" s="149"/>
      <c r="CU11" s="149"/>
      <c r="CV11" s="149"/>
      <c r="CW11" s="149"/>
      <c r="CX11" s="149"/>
      <c r="CY11" s="149"/>
      <c r="CZ11" s="149"/>
      <c r="DA11" s="149"/>
      <c r="DB11" s="149"/>
      <c r="DC11" s="149"/>
      <c r="DD11" s="149"/>
      <c r="DE11" s="149"/>
      <c r="DF11" s="149"/>
      <c r="DG11" s="149"/>
      <c r="DH11" s="149"/>
      <c r="DI11" s="149"/>
      <c r="DJ11" s="149"/>
      <c r="DK11" s="149"/>
      <c r="DL11" s="149"/>
      <c r="DM11" s="149"/>
    </row>
    <row r="12" spans="1:117" s="149" customFormat="1" ht="12.75" customHeight="1" thickBot="1" x14ac:dyDescent="0.25">
      <c r="A12" s="152"/>
      <c r="B12" s="152"/>
      <c r="C12" s="160"/>
      <c r="E12" s="4"/>
      <c r="F12" s="4"/>
      <c r="G12" s="4"/>
      <c r="H12" s="4"/>
      <c r="I12" s="4"/>
      <c r="J12" s="4"/>
      <c r="K12" s="4"/>
    </row>
    <row r="13" spans="1:117" ht="13.5" thickBot="1" x14ac:dyDescent="0.25">
      <c r="D13" s="377" t="s">
        <v>101</v>
      </c>
      <c r="E13" s="380"/>
      <c r="F13" s="377" t="s">
        <v>349</v>
      </c>
      <c r="G13" s="378"/>
      <c r="H13" s="379"/>
      <c r="I13" s="4"/>
      <c r="J13" s="382" t="s">
        <v>350</v>
      </c>
    </row>
    <row r="14" spans="1:117" x14ac:dyDescent="0.2">
      <c r="D14" s="170" t="s">
        <v>279</v>
      </c>
      <c r="E14" s="171"/>
      <c r="F14" s="393" t="s">
        <v>72</v>
      </c>
      <c r="G14" s="394"/>
      <c r="H14" s="173"/>
      <c r="I14" s="225"/>
      <c r="J14" s="383"/>
    </row>
    <row r="15" spans="1:117" x14ac:dyDescent="0.2">
      <c r="D15" s="169" t="s">
        <v>83</v>
      </c>
      <c r="E15" s="172"/>
      <c r="F15" s="375" t="s">
        <v>118</v>
      </c>
      <c r="G15" s="376"/>
      <c r="H15" s="57"/>
      <c r="I15" s="4"/>
      <c r="J15" s="213" t="e">
        <f>+IF(J7="Calculado",Cosecha!F12/'Resumen costos'!D21*1000,Cosecha!F12/10*1000)</f>
        <v>#DIV/0!</v>
      </c>
    </row>
    <row r="16" spans="1:117" x14ac:dyDescent="0.2">
      <c r="D16" s="169" t="s">
        <v>102</v>
      </c>
      <c r="E16" s="167"/>
      <c r="F16" s="375" t="s">
        <v>71</v>
      </c>
      <c r="G16" s="376"/>
      <c r="H16" s="57"/>
      <c r="I16" s="4"/>
    </row>
    <row r="17" spans="2:10" ht="13.5" thickBot="1" x14ac:dyDescent="0.25">
      <c r="D17" s="174" t="s">
        <v>105</v>
      </c>
      <c r="E17" s="168"/>
      <c r="F17" s="391" t="s">
        <v>12</v>
      </c>
      <c r="G17" s="392"/>
      <c r="H17" s="212"/>
      <c r="I17" s="4"/>
    </row>
    <row r="18" spans="2:10" ht="15.75" thickBot="1" x14ac:dyDescent="0.25">
      <c r="B18" s="39"/>
      <c r="C18" s="381"/>
      <c r="D18" s="381"/>
      <c r="E18" s="381"/>
      <c r="F18" s="381"/>
      <c r="G18" s="381"/>
      <c r="H18" s="381"/>
      <c r="I18" s="384" t="s">
        <v>351</v>
      </c>
      <c r="J18" s="385"/>
    </row>
    <row r="19" spans="2:10" x14ac:dyDescent="0.2">
      <c r="C19" s="59">
        <v>1</v>
      </c>
      <c r="D19" s="64" t="s">
        <v>13</v>
      </c>
      <c r="E19" s="65" t="s">
        <v>3</v>
      </c>
      <c r="F19" s="66" t="s">
        <v>4</v>
      </c>
      <c r="G19" s="28" t="s">
        <v>215</v>
      </c>
      <c r="H19" s="67" t="s">
        <v>216</v>
      </c>
      <c r="I19" s="216" t="s">
        <v>4</v>
      </c>
      <c r="J19" s="216" t="s">
        <v>352</v>
      </c>
    </row>
    <row r="20" spans="2:10" x14ac:dyDescent="0.2">
      <c r="C20" s="12" t="s">
        <v>15</v>
      </c>
      <c r="D20" s="13" t="s">
        <v>159</v>
      </c>
      <c r="E20" s="14" t="s">
        <v>14</v>
      </c>
      <c r="F20" s="209"/>
      <c r="G20" s="79"/>
      <c r="H20" s="81">
        <f>F20*G20*$H$15*$H$16</f>
        <v>0</v>
      </c>
      <c r="I20" s="81" t="e">
        <f>+F20*J15/H17</f>
        <v>#DIV/0!</v>
      </c>
      <c r="J20" s="81" t="e">
        <f>+G20*I20</f>
        <v>#DIV/0!</v>
      </c>
    </row>
    <row r="21" spans="2:10" x14ac:dyDescent="0.2">
      <c r="C21" s="12" t="s">
        <v>16</v>
      </c>
      <c r="D21" s="13" t="s">
        <v>106</v>
      </c>
      <c r="E21" s="14" t="s">
        <v>14</v>
      </c>
      <c r="F21" s="209"/>
      <c r="G21" s="79"/>
      <c r="H21" s="81">
        <f t="shared" ref="H21:H33" si="0">F21*G21*$H$15*$H$16</f>
        <v>0</v>
      </c>
      <c r="I21" s="81" t="e">
        <f>+F21*$J$15/$H$17</f>
        <v>#DIV/0!</v>
      </c>
      <c r="J21" s="81" t="e">
        <f>+I21*G21</f>
        <v>#DIV/0!</v>
      </c>
    </row>
    <row r="22" spans="2:10" x14ac:dyDescent="0.2">
      <c r="C22" s="12" t="s">
        <v>18</v>
      </c>
      <c r="D22" s="13" t="s">
        <v>20</v>
      </c>
      <c r="E22" s="14" t="s">
        <v>14</v>
      </c>
      <c r="F22" s="209"/>
      <c r="G22" s="79"/>
      <c r="H22" s="81">
        <f t="shared" si="0"/>
        <v>0</v>
      </c>
      <c r="I22" s="81" t="e">
        <f t="shared" ref="I22:I35" si="1">+F22*$J$15/$H$17</f>
        <v>#DIV/0!</v>
      </c>
      <c r="J22" s="81" t="e">
        <f t="shared" ref="J22:J34" si="2">+I22*G22</f>
        <v>#DIV/0!</v>
      </c>
    </row>
    <row r="23" spans="2:10" x14ac:dyDescent="0.2">
      <c r="C23" s="12" t="s">
        <v>19</v>
      </c>
      <c r="D23" s="13" t="s">
        <v>320</v>
      </c>
      <c r="E23" s="14" t="s">
        <v>14</v>
      </c>
      <c r="F23" s="209"/>
      <c r="G23" s="79"/>
      <c r="H23" s="81">
        <f t="shared" si="0"/>
        <v>0</v>
      </c>
      <c r="I23" s="81" t="e">
        <f t="shared" si="1"/>
        <v>#DIV/0!</v>
      </c>
      <c r="J23" s="81" t="e">
        <f t="shared" si="2"/>
        <v>#DIV/0!</v>
      </c>
    </row>
    <row r="24" spans="2:10" x14ac:dyDescent="0.2">
      <c r="C24" s="12" t="s">
        <v>21</v>
      </c>
      <c r="D24" s="13" t="s">
        <v>321</v>
      </c>
      <c r="E24" s="14" t="s">
        <v>14</v>
      </c>
      <c r="F24" s="209"/>
      <c r="G24" s="79"/>
      <c r="H24" s="81">
        <f t="shared" si="0"/>
        <v>0</v>
      </c>
      <c r="I24" s="81" t="e">
        <f t="shared" si="1"/>
        <v>#DIV/0!</v>
      </c>
      <c r="J24" s="81" t="e">
        <f t="shared" si="2"/>
        <v>#DIV/0!</v>
      </c>
    </row>
    <row r="25" spans="2:10" x14ac:dyDescent="0.2">
      <c r="C25" s="12" t="s">
        <v>22</v>
      </c>
      <c r="D25" s="13" t="s">
        <v>322</v>
      </c>
      <c r="E25" s="14" t="s">
        <v>14</v>
      </c>
      <c r="F25" s="209"/>
      <c r="G25" s="79"/>
      <c r="H25" s="81">
        <f t="shared" si="0"/>
        <v>0</v>
      </c>
      <c r="I25" s="81" t="e">
        <f t="shared" si="1"/>
        <v>#DIV/0!</v>
      </c>
      <c r="J25" s="81" t="e">
        <f t="shared" si="2"/>
        <v>#DIV/0!</v>
      </c>
    </row>
    <row r="26" spans="2:10" x14ac:dyDescent="0.2">
      <c r="C26" s="12" t="s">
        <v>23</v>
      </c>
      <c r="D26" s="13" t="s">
        <v>76</v>
      </c>
      <c r="E26" s="14" t="s">
        <v>14</v>
      </c>
      <c r="F26" s="209"/>
      <c r="G26" s="79"/>
      <c r="H26" s="81">
        <f t="shared" si="0"/>
        <v>0</v>
      </c>
      <c r="I26" s="81" t="e">
        <f t="shared" si="1"/>
        <v>#DIV/0!</v>
      </c>
      <c r="J26" s="81" t="e">
        <f t="shared" si="2"/>
        <v>#DIV/0!</v>
      </c>
    </row>
    <row r="27" spans="2:10" x14ac:dyDescent="0.2">
      <c r="C27" s="12" t="s">
        <v>74</v>
      </c>
      <c r="D27" s="13" t="s">
        <v>324</v>
      </c>
      <c r="E27" s="14" t="s">
        <v>14</v>
      </c>
      <c r="F27" s="209"/>
      <c r="G27" s="79"/>
      <c r="H27" s="81">
        <f t="shared" si="0"/>
        <v>0</v>
      </c>
      <c r="I27" s="81" t="e">
        <f t="shared" si="1"/>
        <v>#DIV/0!</v>
      </c>
      <c r="J27" s="81" t="e">
        <f t="shared" si="2"/>
        <v>#DIV/0!</v>
      </c>
    </row>
    <row r="28" spans="2:10" x14ac:dyDescent="0.2">
      <c r="C28" s="12" t="s">
        <v>54</v>
      </c>
      <c r="D28" s="13" t="s">
        <v>75</v>
      </c>
      <c r="E28" s="14" t="s">
        <v>14</v>
      </c>
      <c r="F28" s="209"/>
      <c r="G28" s="79"/>
      <c r="H28" s="81">
        <f t="shared" si="0"/>
        <v>0</v>
      </c>
      <c r="I28" s="81" t="e">
        <f t="shared" si="1"/>
        <v>#DIV/0!</v>
      </c>
      <c r="J28" s="81" t="e">
        <f t="shared" si="2"/>
        <v>#DIV/0!</v>
      </c>
    </row>
    <row r="29" spans="2:10" x14ac:dyDescent="0.2">
      <c r="C29" s="12" t="s">
        <v>55</v>
      </c>
      <c r="D29" s="13" t="s">
        <v>111</v>
      </c>
      <c r="E29" s="14" t="s">
        <v>14</v>
      </c>
      <c r="F29" s="209"/>
      <c r="G29" s="79"/>
      <c r="H29" s="81">
        <f t="shared" si="0"/>
        <v>0</v>
      </c>
      <c r="I29" s="81" t="e">
        <f t="shared" si="1"/>
        <v>#DIV/0!</v>
      </c>
      <c r="J29" s="81" t="e">
        <f t="shared" si="2"/>
        <v>#DIV/0!</v>
      </c>
    </row>
    <row r="30" spans="2:10" x14ac:dyDescent="0.2">
      <c r="C30" s="12" t="s">
        <v>26</v>
      </c>
      <c r="D30" s="13" t="s">
        <v>17</v>
      </c>
      <c r="E30" s="14" t="s">
        <v>14</v>
      </c>
      <c r="F30" s="209"/>
      <c r="G30" s="79"/>
      <c r="H30" s="81">
        <f t="shared" si="0"/>
        <v>0</v>
      </c>
      <c r="I30" s="81" t="e">
        <f t="shared" si="1"/>
        <v>#DIV/0!</v>
      </c>
      <c r="J30" s="81" t="e">
        <f t="shared" si="2"/>
        <v>#DIV/0!</v>
      </c>
    </row>
    <row r="31" spans="2:10" x14ac:dyDescent="0.2">
      <c r="C31" s="12" t="s">
        <v>112</v>
      </c>
      <c r="D31" s="13" t="s">
        <v>117</v>
      </c>
      <c r="E31" s="14" t="s">
        <v>14</v>
      </c>
      <c r="F31" s="209"/>
      <c r="G31" s="79"/>
      <c r="H31" s="81">
        <f t="shared" si="0"/>
        <v>0</v>
      </c>
      <c r="I31" s="81" t="e">
        <f t="shared" si="1"/>
        <v>#DIV/0!</v>
      </c>
      <c r="J31" s="81" t="e">
        <f t="shared" si="2"/>
        <v>#DIV/0!</v>
      </c>
    </row>
    <row r="32" spans="2:10" x14ac:dyDescent="0.2">
      <c r="C32" s="12" t="s">
        <v>113</v>
      </c>
      <c r="D32" s="13"/>
      <c r="E32" s="14" t="s">
        <v>14</v>
      </c>
      <c r="F32" s="209"/>
      <c r="G32" s="79"/>
      <c r="H32" s="81">
        <f t="shared" si="0"/>
        <v>0</v>
      </c>
      <c r="I32" s="81" t="e">
        <f t="shared" si="1"/>
        <v>#DIV/0!</v>
      </c>
      <c r="J32" s="81" t="e">
        <f t="shared" si="2"/>
        <v>#DIV/0!</v>
      </c>
    </row>
    <row r="33" spans="3:10" x14ac:dyDescent="0.2">
      <c r="C33" s="12" t="s">
        <v>114</v>
      </c>
      <c r="D33" s="13"/>
      <c r="E33" s="14" t="s">
        <v>14</v>
      </c>
      <c r="F33" s="209"/>
      <c r="G33" s="79"/>
      <c r="H33" s="81">
        <f t="shared" si="0"/>
        <v>0</v>
      </c>
      <c r="I33" s="81" t="e">
        <f t="shared" si="1"/>
        <v>#DIV/0!</v>
      </c>
      <c r="J33" s="81" t="e">
        <f t="shared" si="2"/>
        <v>#DIV/0!</v>
      </c>
    </row>
    <row r="34" spans="3:10" x14ac:dyDescent="0.2">
      <c r="C34" s="12" t="s">
        <v>115</v>
      </c>
      <c r="D34" s="13" t="s">
        <v>225</v>
      </c>
      <c r="E34" s="14" t="s">
        <v>334</v>
      </c>
      <c r="F34" s="209"/>
      <c r="G34" s="79"/>
      <c r="H34" s="81">
        <f>SUM(F20:F33)*H15*H16*G34*F34</f>
        <v>0</v>
      </c>
      <c r="I34" s="81" t="e">
        <f t="shared" si="1"/>
        <v>#DIV/0!</v>
      </c>
      <c r="J34" s="81" t="e">
        <f t="shared" si="2"/>
        <v>#DIV/0!</v>
      </c>
    </row>
    <row r="35" spans="3:10" x14ac:dyDescent="0.2">
      <c r="C35" s="12" t="s">
        <v>116</v>
      </c>
      <c r="D35" s="13" t="s">
        <v>2</v>
      </c>
      <c r="E35" s="14" t="s">
        <v>25</v>
      </c>
      <c r="F35" s="209"/>
      <c r="G35" s="79"/>
      <c r="H35" s="81">
        <f>F35*G35</f>
        <v>0</v>
      </c>
      <c r="I35" s="81" t="e">
        <f t="shared" si="1"/>
        <v>#DIV/0!</v>
      </c>
      <c r="J35" s="81" t="e">
        <f>+G35*$J$15/$H$17</f>
        <v>#DIV/0!</v>
      </c>
    </row>
    <row r="36" spans="3:10" x14ac:dyDescent="0.2">
      <c r="C36" s="154"/>
      <c r="D36" s="155" t="s">
        <v>27</v>
      </c>
      <c r="E36" s="156"/>
      <c r="F36" s="157"/>
      <c r="G36" s="158"/>
      <c r="H36" s="159">
        <f>SUM(H20:H35)</f>
        <v>0</v>
      </c>
      <c r="I36" s="159" t="e">
        <f>SUM(I20:I35)</f>
        <v>#DIV/0!</v>
      </c>
      <c r="J36" s="159" t="e">
        <f>SUM(J20:J35)</f>
        <v>#DIV/0!</v>
      </c>
    </row>
    <row r="37" spans="3:10" x14ac:dyDescent="0.2">
      <c r="C37" s="80"/>
      <c r="D37" s="78" t="s">
        <v>56</v>
      </c>
      <c r="E37" s="30" t="s">
        <v>0</v>
      </c>
      <c r="F37" s="191">
        <f>H9</f>
        <v>0.05</v>
      </c>
      <c r="G37" s="40">
        <f>H36</f>
        <v>0</v>
      </c>
      <c r="H37" s="18">
        <f>G37*F37</f>
        <v>0</v>
      </c>
      <c r="I37" s="18"/>
      <c r="J37" s="18" t="e">
        <f>+J36*F37</f>
        <v>#DIV/0!</v>
      </c>
    </row>
    <row r="38" spans="3:10" x14ac:dyDescent="0.2">
      <c r="C38" s="154"/>
      <c r="D38" s="155" t="s">
        <v>57</v>
      </c>
      <c r="E38" s="156"/>
      <c r="F38" s="157"/>
      <c r="G38" s="158"/>
      <c r="H38" s="159">
        <f>H37</f>
        <v>0</v>
      </c>
      <c r="I38" s="159"/>
      <c r="J38" s="159" t="e">
        <f>J37</f>
        <v>#DIV/0!</v>
      </c>
    </row>
    <row r="39" spans="3:10" ht="13.5" thickBot="1" x14ac:dyDescent="0.25">
      <c r="C39" s="20"/>
      <c r="D39" s="21" t="s">
        <v>265</v>
      </c>
      <c r="E39" s="41"/>
      <c r="F39" s="42"/>
      <c r="G39" s="43"/>
      <c r="H39" s="140">
        <f>H36+H38</f>
        <v>0</v>
      </c>
      <c r="I39" s="140"/>
      <c r="J39" s="140" t="e">
        <f>J36+J38</f>
        <v>#DIV/0!</v>
      </c>
    </row>
    <row r="40" spans="3:10" ht="13.5" thickBot="1" x14ac:dyDescent="0.25">
      <c r="C40" s="19"/>
      <c r="D40" s="19"/>
      <c r="E40" s="19"/>
      <c r="F40" s="19"/>
      <c r="G40" s="44"/>
      <c r="H40" s="62"/>
      <c r="I40" s="62"/>
    </row>
    <row r="41" spans="3:10" x14ac:dyDescent="0.2">
      <c r="C41" s="59">
        <v>2</v>
      </c>
      <c r="D41" s="64" t="s">
        <v>183</v>
      </c>
      <c r="E41" s="65" t="s">
        <v>3</v>
      </c>
      <c r="F41" s="66" t="s">
        <v>4</v>
      </c>
      <c r="G41" s="28" t="s">
        <v>215</v>
      </c>
      <c r="H41" s="67" t="s">
        <v>216</v>
      </c>
      <c r="I41" s="28" t="s">
        <v>4</v>
      </c>
      <c r="J41" s="67" t="s">
        <v>352</v>
      </c>
    </row>
    <row r="42" spans="3:10" x14ac:dyDescent="0.2">
      <c r="C42" s="12" t="s">
        <v>58</v>
      </c>
      <c r="D42" s="13" t="s">
        <v>325</v>
      </c>
      <c r="E42" s="14" t="s">
        <v>77</v>
      </c>
      <c r="F42" s="209"/>
      <c r="G42" s="79"/>
      <c r="H42" s="81">
        <f t="shared" ref="H42" si="3">F42*G42</f>
        <v>0</v>
      </c>
      <c r="I42" s="221" t="e">
        <f>+$J$15/$H$17*F42</f>
        <v>#DIV/0!</v>
      </c>
      <c r="J42" s="81" t="e">
        <f>+I42*G42</f>
        <v>#DIV/0!</v>
      </c>
    </row>
    <row r="43" spans="3:10" x14ac:dyDescent="0.2">
      <c r="C43" s="12" t="s">
        <v>59</v>
      </c>
      <c r="D43" s="13" t="s">
        <v>133</v>
      </c>
      <c r="E43" s="14" t="s">
        <v>77</v>
      </c>
      <c r="F43" s="209"/>
      <c r="G43" s="79"/>
      <c r="H43" s="81">
        <f t="shared" ref="H43:H59" si="4">F43*G43</f>
        <v>0</v>
      </c>
      <c r="I43" s="221" t="e">
        <f>+$J$15/$H$17*F43</f>
        <v>#DIV/0!</v>
      </c>
      <c r="J43" s="81" t="e">
        <f>+I43*G43</f>
        <v>#DIV/0!</v>
      </c>
    </row>
    <row r="44" spans="3:10" x14ac:dyDescent="0.2">
      <c r="C44" s="12" t="s">
        <v>29</v>
      </c>
      <c r="D44" s="13" t="s">
        <v>125</v>
      </c>
      <c r="E44" s="14" t="s">
        <v>77</v>
      </c>
      <c r="F44" s="209"/>
      <c r="G44" s="79"/>
      <c r="H44" s="81">
        <f t="shared" si="4"/>
        <v>0</v>
      </c>
      <c r="I44" s="221" t="e">
        <f t="shared" ref="I44:I58" si="5">+$J$15/$H$17*F44</f>
        <v>#DIV/0!</v>
      </c>
      <c r="J44" s="81" t="e">
        <f t="shared" ref="J44:J58" si="6">+I44*G44</f>
        <v>#DIV/0!</v>
      </c>
    </row>
    <row r="45" spans="3:10" x14ac:dyDescent="0.2">
      <c r="C45" s="12" t="s">
        <v>60</v>
      </c>
      <c r="D45" s="13" t="s">
        <v>126</v>
      </c>
      <c r="E45" s="14" t="s">
        <v>77</v>
      </c>
      <c r="F45" s="209"/>
      <c r="G45" s="79"/>
      <c r="H45" s="81">
        <f t="shared" si="4"/>
        <v>0</v>
      </c>
      <c r="I45" s="221" t="e">
        <f t="shared" si="5"/>
        <v>#DIV/0!</v>
      </c>
      <c r="J45" s="81" t="e">
        <f t="shared" si="6"/>
        <v>#DIV/0!</v>
      </c>
    </row>
    <row r="46" spans="3:10" x14ac:dyDescent="0.2">
      <c r="C46" s="12" t="s">
        <v>61</v>
      </c>
      <c r="D46" s="13" t="s">
        <v>40</v>
      </c>
      <c r="E46" s="14" t="s">
        <v>134</v>
      </c>
      <c r="F46" s="209"/>
      <c r="G46" s="79"/>
      <c r="H46" s="81">
        <f t="shared" si="4"/>
        <v>0</v>
      </c>
      <c r="I46" s="221" t="e">
        <f t="shared" si="5"/>
        <v>#DIV/0!</v>
      </c>
      <c r="J46" s="81" t="e">
        <f t="shared" si="6"/>
        <v>#DIV/0!</v>
      </c>
    </row>
    <row r="47" spans="3:10" x14ac:dyDescent="0.2">
      <c r="C47" s="12" t="s">
        <v>62</v>
      </c>
      <c r="D47" s="13" t="s">
        <v>130</v>
      </c>
      <c r="E47" s="14" t="s">
        <v>127</v>
      </c>
      <c r="F47" s="209"/>
      <c r="G47" s="79"/>
      <c r="H47" s="81">
        <f t="shared" si="4"/>
        <v>0</v>
      </c>
      <c r="I47" s="221" t="e">
        <f t="shared" si="5"/>
        <v>#DIV/0!</v>
      </c>
      <c r="J47" s="81" t="e">
        <f t="shared" si="6"/>
        <v>#DIV/0!</v>
      </c>
    </row>
    <row r="48" spans="3:10" x14ac:dyDescent="0.2">
      <c r="C48" s="12" t="s">
        <v>107</v>
      </c>
      <c r="D48" s="13" t="s">
        <v>100</v>
      </c>
      <c r="E48" s="14" t="s">
        <v>127</v>
      </c>
      <c r="F48" s="209"/>
      <c r="G48" s="79"/>
      <c r="H48" s="81">
        <f t="shared" si="4"/>
        <v>0</v>
      </c>
      <c r="I48" s="221" t="e">
        <f t="shared" si="5"/>
        <v>#DIV/0!</v>
      </c>
      <c r="J48" s="81" t="e">
        <f t="shared" si="6"/>
        <v>#DIV/0!</v>
      </c>
    </row>
    <row r="49" spans="3:10" x14ac:dyDescent="0.2">
      <c r="C49" s="12" t="s">
        <v>108</v>
      </c>
      <c r="D49" s="13" t="s">
        <v>44</v>
      </c>
      <c r="E49" s="14" t="s">
        <v>77</v>
      </c>
      <c r="F49" s="209"/>
      <c r="G49" s="79"/>
      <c r="H49" s="81">
        <f t="shared" si="4"/>
        <v>0</v>
      </c>
      <c r="I49" s="221" t="e">
        <f t="shared" si="5"/>
        <v>#DIV/0!</v>
      </c>
      <c r="J49" s="81" t="e">
        <f t="shared" si="6"/>
        <v>#DIV/0!</v>
      </c>
    </row>
    <row r="50" spans="3:10" x14ac:dyDescent="0.2">
      <c r="C50" s="12" t="s">
        <v>109</v>
      </c>
      <c r="D50" s="13" t="s">
        <v>45</v>
      </c>
      <c r="E50" s="14" t="s">
        <v>127</v>
      </c>
      <c r="F50" s="209"/>
      <c r="G50" s="79"/>
      <c r="H50" s="81">
        <f t="shared" si="4"/>
        <v>0</v>
      </c>
      <c r="I50" s="221" t="e">
        <f t="shared" si="5"/>
        <v>#DIV/0!</v>
      </c>
      <c r="J50" s="81" t="e">
        <f t="shared" si="6"/>
        <v>#DIV/0!</v>
      </c>
    </row>
    <row r="51" spans="3:10" x14ac:dyDescent="0.2">
      <c r="C51" s="12" t="s">
        <v>122</v>
      </c>
      <c r="D51" s="13" t="s">
        <v>378</v>
      </c>
      <c r="E51" s="14" t="s">
        <v>131</v>
      </c>
      <c r="F51" s="209"/>
      <c r="G51" s="79"/>
      <c r="H51" s="81">
        <f t="shared" si="4"/>
        <v>0</v>
      </c>
      <c r="I51" s="221" t="e">
        <f t="shared" si="5"/>
        <v>#DIV/0!</v>
      </c>
      <c r="J51" s="81" t="e">
        <f t="shared" si="6"/>
        <v>#DIV/0!</v>
      </c>
    </row>
    <row r="52" spans="3:10" x14ac:dyDescent="0.2">
      <c r="C52" s="12" t="s">
        <v>123</v>
      </c>
      <c r="D52" s="13" t="s">
        <v>379</v>
      </c>
      <c r="E52" s="14" t="s">
        <v>131</v>
      </c>
      <c r="F52" s="209"/>
      <c r="G52" s="79"/>
      <c r="H52" s="81">
        <f t="shared" si="4"/>
        <v>0</v>
      </c>
      <c r="I52" s="221" t="e">
        <f t="shared" si="5"/>
        <v>#DIV/0!</v>
      </c>
      <c r="J52" s="81" t="e">
        <f t="shared" si="6"/>
        <v>#DIV/0!</v>
      </c>
    </row>
    <row r="53" spans="3:10" x14ac:dyDescent="0.2">
      <c r="C53" s="12" t="s">
        <v>124</v>
      </c>
      <c r="D53" s="13" t="s">
        <v>135</v>
      </c>
      <c r="E53" s="14" t="s">
        <v>121</v>
      </c>
      <c r="F53" s="209"/>
      <c r="G53" s="79"/>
      <c r="H53" s="81">
        <f t="shared" si="4"/>
        <v>0</v>
      </c>
      <c r="I53" s="221" t="e">
        <f t="shared" si="5"/>
        <v>#DIV/0!</v>
      </c>
      <c r="J53" s="81" t="e">
        <f t="shared" si="6"/>
        <v>#DIV/0!</v>
      </c>
    </row>
    <row r="54" spans="3:10" x14ac:dyDescent="0.2">
      <c r="C54" s="12" t="s">
        <v>179</v>
      </c>
      <c r="D54" s="13" t="s">
        <v>136</v>
      </c>
      <c r="E54" s="14" t="s">
        <v>121</v>
      </c>
      <c r="F54" s="209"/>
      <c r="G54" s="79"/>
      <c r="H54" s="81">
        <f t="shared" si="4"/>
        <v>0</v>
      </c>
      <c r="I54" s="221" t="e">
        <f t="shared" si="5"/>
        <v>#DIV/0!</v>
      </c>
      <c r="J54" s="81" t="e">
        <f t="shared" si="6"/>
        <v>#DIV/0!</v>
      </c>
    </row>
    <row r="55" spans="3:10" x14ac:dyDescent="0.2">
      <c r="C55" s="12" t="s">
        <v>180</v>
      </c>
      <c r="D55" s="13" t="s">
        <v>132</v>
      </c>
      <c r="E55" s="14" t="s">
        <v>77</v>
      </c>
      <c r="F55" s="209"/>
      <c r="G55" s="79"/>
      <c r="H55" s="81">
        <f t="shared" si="4"/>
        <v>0</v>
      </c>
      <c r="I55" s="221" t="e">
        <f t="shared" si="5"/>
        <v>#DIV/0!</v>
      </c>
      <c r="J55" s="81" t="e">
        <f t="shared" si="6"/>
        <v>#DIV/0!</v>
      </c>
    </row>
    <row r="56" spans="3:10" x14ac:dyDescent="0.2">
      <c r="C56" s="12" t="s">
        <v>181</v>
      </c>
      <c r="D56" s="13"/>
      <c r="E56" s="14"/>
      <c r="F56" s="209"/>
      <c r="G56" s="79"/>
      <c r="H56" s="81">
        <f t="shared" si="4"/>
        <v>0</v>
      </c>
      <c r="I56" s="221" t="e">
        <f t="shared" si="5"/>
        <v>#DIV/0!</v>
      </c>
      <c r="J56" s="81" t="e">
        <f t="shared" si="6"/>
        <v>#DIV/0!</v>
      </c>
    </row>
    <row r="57" spans="3:10" x14ac:dyDescent="0.2">
      <c r="C57" s="12" t="s">
        <v>248</v>
      </c>
      <c r="D57" s="13"/>
      <c r="E57" s="14"/>
      <c r="F57" s="209"/>
      <c r="G57" s="79"/>
      <c r="H57" s="81">
        <f t="shared" si="4"/>
        <v>0</v>
      </c>
      <c r="I57" s="221" t="e">
        <f t="shared" si="5"/>
        <v>#DIV/0!</v>
      </c>
      <c r="J57" s="81" t="e">
        <f t="shared" si="6"/>
        <v>#DIV/0!</v>
      </c>
    </row>
    <row r="58" spans="3:10" x14ac:dyDescent="0.2">
      <c r="C58" s="12" t="s">
        <v>282</v>
      </c>
      <c r="D58" s="13"/>
      <c r="E58" s="14"/>
      <c r="F58" s="209"/>
      <c r="G58" s="79"/>
      <c r="H58" s="81">
        <f t="shared" si="4"/>
        <v>0</v>
      </c>
      <c r="I58" s="221" t="e">
        <f t="shared" si="5"/>
        <v>#DIV/0!</v>
      </c>
      <c r="J58" s="81" t="e">
        <f t="shared" si="6"/>
        <v>#DIV/0!</v>
      </c>
    </row>
    <row r="59" spans="3:10" x14ac:dyDescent="0.2">
      <c r="C59" s="12" t="s">
        <v>283</v>
      </c>
      <c r="D59" s="13" t="s">
        <v>47</v>
      </c>
      <c r="E59" s="14" t="s">
        <v>5</v>
      </c>
      <c r="F59" s="209"/>
      <c r="G59" s="79"/>
      <c r="H59" s="81">
        <f t="shared" si="4"/>
        <v>0</v>
      </c>
      <c r="I59" s="221">
        <f>+F59</f>
        <v>0</v>
      </c>
      <c r="J59" s="81" t="e">
        <f>+G59*$J$15/$H$17</f>
        <v>#DIV/0!</v>
      </c>
    </row>
    <row r="60" spans="3:10" x14ac:dyDescent="0.2">
      <c r="C60" s="154"/>
      <c r="D60" s="155" t="s">
        <v>33</v>
      </c>
      <c r="E60" s="156"/>
      <c r="F60" s="157"/>
      <c r="G60" s="158"/>
      <c r="H60" s="159">
        <f>SUM(H42:H59)</f>
        <v>0</v>
      </c>
      <c r="I60" s="158"/>
      <c r="J60" s="159" t="e">
        <f>SUM(J42:J59)</f>
        <v>#DIV/0!</v>
      </c>
    </row>
    <row r="61" spans="3:10" x14ac:dyDescent="0.2">
      <c r="C61" s="80"/>
      <c r="D61" s="78" t="s">
        <v>63</v>
      </c>
      <c r="E61" s="30" t="s">
        <v>0</v>
      </c>
      <c r="F61" s="191">
        <f>H9</f>
        <v>0.05</v>
      </c>
      <c r="G61" s="40">
        <f>H60</f>
        <v>0</v>
      </c>
      <c r="H61" s="18">
        <f>G61*F61</f>
        <v>0</v>
      </c>
      <c r="I61" s="40"/>
      <c r="J61" s="18" t="e">
        <f>J60*F61</f>
        <v>#DIV/0!</v>
      </c>
    </row>
    <row r="62" spans="3:10" x14ac:dyDescent="0.2">
      <c r="C62" s="154"/>
      <c r="D62" s="155" t="s">
        <v>64</v>
      </c>
      <c r="E62" s="156"/>
      <c r="F62" s="157"/>
      <c r="G62" s="158"/>
      <c r="H62" s="159">
        <f>H61</f>
        <v>0</v>
      </c>
      <c r="I62" s="158"/>
      <c r="J62" s="159" t="e">
        <f>J61</f>
        <v>#DIV/0!</v>
      </c>
    </row>
    <row r="63" spans="3:10" ht="13.5" thickBot="1" x14ac:dyDescent="0.25">
      <c r="C63" s="20"/>
      <c r="D63" s="21" t="s">
        <v>266</v>
      </c>
      <c r="E63" s="41"/>
      <c r="F63" s="42"/>
      <c r="G63" s="43"/>
      <c r="H63" s="140">
        <f>H60+H62</f>
        <v>0</v>
      </c>
      <c r="I63" s="43"/>
      <c r="J63" s="140" t="e">
        <f>J60+J62</f>
        <v>#DIV/0!</v>
      </c>
    </row>
    <row r="64" spans="3:10" ht="13.5" thickBot="1" x14ac:dyDescent="0.25">
      <c r="C64" s="19"/>
      <c r="D64" s="19"/>
      <c r="E64" s="19"/>
      <c r="F64" s="19"/>
      <c r="G64" s="44"/>
      <c r="H64" s="62"/>
      <c r="I64" s="62"/>
    </row>
    <row r="65" spans="3:10" x14ac:dyDescent="0.2">
      <c r="C65" s="59">
        <v>3</v>
      </c>
      <c r="D65" s="64" t="s">
        <v>192</v>
      </c>
      <c r="E65" s="65" t="s">
        <v>3</v>
      </c>
      <c r="F65" s="66" t="s">
        <v>4</v>
      </c>
      <c r="G65" s="28" t="s">
        <v>215</v>
      </c>
      <c r="H65" s="67" t="s">
        <v>216</v>
      </c>
      <c r="I65" s="28" t="str">
        <f>+I41</f>
        <v>Cantidad</v>
      </c>
      <c r="J65" s="67" t="str">
        <f>+J41</f>
        <v>Costo Total</v>
      </c>
    </row>
    <row r="66" spans="3:10" x14ac:dyDescent="0.2">
      <c r="C66" s="12" t="s">
        <v>34</v>
      </c>
      <c r="D66" s="13" t="s">
        <v>120</v>
      </c>
      <c r="E66" s="14" t="s">
        <v>77</v>
      </c>
      <c r="F66" s="209"/>
      <c r="G66" s="79"/>
      <c r="H66" s="81">
        <f>F66*G66</f>
        <v>0</v>
      </c>
      <c r="I66" s="222" t="e">
        <f>+$J$15/$H$17*F66</f>
        <v>#DIV/0!</v>
      </c>
      <c r="J66" s="217" t="e">
        <f>+G66*I66</f>
        <v>#DIV/0!</v>
      </c>
    </row>
    <row r="67" spans="3:10" x14ac:dyDescent="0.2">
      <c r="C67" s="12" t="s">
        <v>35</v>
      </c>
      <c r="D67" s="13" t="s">
        <v>28</v>
      </c>
      <c r="E67" s="14" t="s">
        <v>5</v>
      </c>
      <c r="F67" s="209"/>
      <c r="G67" s="79"/>
      <c r="H67" s="81">
        <f t="shared" ref="H67:H78" si="7">F67*G67</f>
        <v>0</v>
      </c>
      <c r="I67" s="219" t="e">
        <f>+$J$15/$H$17*F67</f>
        <v>#DIV/0!</v>
      </c>
      <c r="J67" s="217" t="e">
        <f>+G67*I67</f>
        <v>#DIV/0!</v>
      </c>
    </row>
    <row r="68" spans="3:10" x14ac:dyDescent="0.2">
      <c r="C68" s="12" t="s">
        <v>36</v>
      </c>
      <c r="D68" s="13" t="s">
        <v>30</v>
      </c>
      <c r="E68" s="14" t="s">
        <v>5</v>
      </c>
      <c r="F68" s="209"/>
      <c r="G68" s="79"/>
      <c r="H68" s="81">
        <f t="shared" si="7"/>
        <v>0</v>
      </c>
      <c r="I68" s="219" t="e">
        <f t="shared" ref="I68:I77" si="8">+$J$15/$H$17*F68</f>
        <v>#DIV/0!</v>
      </c>
      <c r="J68" s="217" t="e">
        <f t="shared" ref="J68:J77" si="9">+G68*I68</f>
        <v>#DIV/0!</v>
      </c>
    </row>
    <row r="69" spans="3:10" x14ac:dyDescent="0.2">
      <c r="C69" s="12" t="s">
        <v>37</v>
      </c>
      <c r="D69" s="13" t="s">
        <v>31</v>
      </c>
      <c r="E69" s="14" t="s">
        <v>5</v>
      </c>
      <c r="F69" s="209"/>
      <c r="G69" s="79"/>
      <c r="H69" s="81">
        <f t="shared" si="7"/>
        <v>0</v>
      </c>
      <c r="I69" s="219" t="e">
        <f t="shared" si="8"/>
        <v>#DIV/0!</v>
      </c>
      <c r="J69" s="217" t="e">
        <f t="shared" si="9"/>
        <v>#DIV/0!</v>
      </c>
    </row>
    <row r="70" spans="3:10" x14ac:dyDescent="0.2">
      <c r="C70" s="12" t="s">
        <v>38</v>
      </c>
      <c r="D70" s="13" t="s">
        <v>73</v>
      </c>
      <c r="E70" s="14" t="s">
        <v>77</v>
      </c>
      <c r="F70" s="209"/>
      <c r="G70" s="79"/>
      <c r="H70" s="81">
        <f t="shared" si="7"/>
        <v>0</v>
      </c>
      <c r="I70" s="219" t="e">
        <f t="shared" si="8"/>
        <v>#DIV/0!</v>
      </c>
      <c r="J70" s="217" t="e">
        <f t="shared" si="9"/>
        <v>#DIV/0!</v>
      </c>
    </row>
    <row r="71" spans="3:10" x14ac:dyDescent="0.2">
      <c r="C71" s="12" t="s">
        <v>39</v>
      </c>
      <c r="D71" s="13" t="s">
        <v>119</v>
      </c>
      <c r="E71" s="14" t="s">
        <v>5</v>
      </c>
      <c r="F71" s="209"/>
      <c r="G71" s="79"/>
      <c r="H71" s="81">
        <f t="shared" si="7"/>
        <v>0</v>
      </c>
      <c r="I71" s="219" t="e">
        <f t="shared" si="8"/>
        <v>#DIV/0!</v>
      </c>
      <c r="J71" s="217" t="e">
        <f t="shared" si="9"/>
        <v>#DIV/0!</v>
      </c>
    </row>
    <row r="72" spans="3:10" x14ac:dyDescent="0.2">
      <c r="C72" s="12" t="s">
        <v>41</v>
      </c>
      <c r="D72" s="13" t="s">
        <v>128</v>
      </c>
      <c r="E72" s="14" t="s">
        <v>5</v>
      </c>
      <c r="F72" s="209"/>
      <c r="G72" s="79"/>
      <c r="H72" s="81">
        <f t="shared" si="7"/>
        <v>0</v>
      </c>
      <c r="I72" s="219" t="e">
        <f t="shared" si="8"/>
        <v>#DIV/0!</v>
      </c>
      <c r="J72" s="217" t="e">
        <f t="shared" si="9"/>
        <v>#DIV/0!</v>
      </c>
    </row>
    <row r="73" spans="3:10" x14ac:dyDescent="0.2">
      <c r="C73" s="12" t="s">
        <v>42</v>
      </c>
      <c r="D73" s="13" t="s">
        <v>129</v>
      </c>
      <c r="E73" s="14" t="s">
        <v>5</v>
      </c>
      <c r="F73" s="209"/>
      <c r="G73" s="79"/>
      <c r="H73" s="81">
        <f t="shared" si="7"/>
        <v>0</v>
      </c>
      <c r="I73" s="219" t="e">
        <f t="shared" si="8"/>
        <v>#DIV/0!</v>
      </c>
      <c r="J73" s="217" t="e">
        <f t="shared" si="9"/>
        <v>#DIV/0!</v>
      </c>
    </row>
    <row r="74" spans="3:10" x14ac:dyDescent="0.2">
      <c r="C74" s="12" t="s">
        <v>43</v>
      </c>
      <c r="D74" s="13" t="s">
        <v>65</v>
      </c>
      <c r="E74" s="14" t="s">
        <v>5</v>
      </c>
      <c r="F74" s="209"/>
      <c r="G74" s="79"/>
      <c r="H74" s="81">
        <f t="shared" si="7"/>
        <v>0</v>
      </c>
      <c r="I74" s="219" t="e">
        <f t="shared" si="8"/>
        <v>#DIV/0!</v>
      </c>
      <c r="J74" s="217" t="e">
        <f t="shared" si="9"/>
        <v>#DIV/0!</v>
      </c>
    </row>
    <row r="75" spans="3:10" x14ac:dyDescent="0.2">
      <c r="C75" s="12" t="s">
        <v>66</v>
      </c>
      <c r="D75" s="13"/>
      <c r="E75" s="14"/>
      <c r="F75" s="209"/>
      <c r="G75" s="79"/>
      <c r="H75" s="81">
        <f t="shared" si="7"/>
        <v>0</v>
      </c>
      <c r="I75" s="219" t="e">
        <f t="shared" si="8"/>
        <v>#DIV/0!</v>
      </c>
      <c r="J75" s="217" t="e">
        <f t="shared" si="9"/>
        <v>#DIV/0!</v>
      </c>
    </row>
    <row r="76" spans="3:10" x14ac:dyDescent="0.2">
      <c r="C76" s="12" t="s">
        <v>67</v>
      </c>
      <c r="D76" s="13"/>
      <c r="E76" s="14"/>
      <c r="F76" s="209"/>
      <c r="G76" s="79"/>
      <c r="H76" s="81">
        <f t="shared" si="7"/>
        <v>0</v>
      </c>
      <c r="I76" s="219" t="e">
        <f t="shared" si="8"/>
        <v>#DIV/0!</v>
      </c>
      <c r="J76" s="217" t="e">
        <f t="shared" si="9"/>
        <v>#DIV/0!</v>
      </c>
    </row>
    <row r="77" spans="3:10" x14ac:dyDescent="0.2">
      <c r="C77" s="12" t="s">
        <v>68</v>
      </c>
      <c r="D77" s="13"/>
      <c r="E77" s="14"/>
      <c r="F77" s="209"/>
      <c r="G77" s="79"/>
      <c r="H77" s="81">
        <f t="shared" si="7"/>
        <v>0</v>
      </c>
      <c r="I77" s="219" t="e">
        <f t="shared" si="8"/>
        <v>#DIV/0!</v>
      </c>
      <c r="J77" s="217" t="e">
        <f t="shared" si="9"/>
        <v>#DIV/0!</v>
      </c>
    </row>
    <row r="78" spans="3:10" x14ac:dyDescent="0.2">
      <c r="C78" s="12" t="s">
        <v>69</v>
      </c>
      <c r="D78" s="13" t="s">
        <v>32</v>
      </c>
      <c r="E78" s="14" t="s">
        <v>5</v>
      </c>
      <c r="F78" s="209"/>
      <c r="G78" s="79"/>
      <c r="H78" s="81">
        <f t="shared" si="7"/>
        <v>0</v>
      </c>
      <c r="I78" s="222">
        <f>+F78</f>
        <v>0</v>
      </c>
      <c r="J78" s="81" t="e">
        <f>+G78*$J$15/$H$17</f>
        <v>#DIV/0!</v>
      </c>
    </row>
    <row r="79" spans="3:10" x14ac:dyDescent="0.2">
      <c r="C79" s="154"/>
      <c r="D79" s="155" t="s">
        <v>48</v>
      </c>
      <c r="E79" s="156"/>
      <c r="F79" s="157"/>
      <c r="G79" s="158"/>
      <c r="H79" s="159">
        <f>SUM(H66:H78)</f>
        <v>0</v>
      </c>
      <c r="I79" s="158"/>
      <c r="J79" s="218" t="e">
        <f>SUM(J66:J78)</f>
        <v>#DIV/0!</v>
      </c>
    </row>
    <row r="80" spans="3:10" x14ac:dyDescent="0.2">
      <c r="C80" s="80"/>
      <c r="D80" s="78" t="s">
        <v>49</v>
      </c>
      <c r="E80" s="30" t="s">
        <v>0</v>
      </c>
      <c r="F80" s="191">
        <f>H9</f>
        <v>0.05</v>
      </c>
      <c r="G80" s="40">
        <f>H79</f>
        <v>0</v>
      </c>
      <c r="H80" s="18">
        <f>G80*F80</f>
        <v>0</v>
      </c>
      <c r="I80" s="40"/>
      <c r="J80" s="18" t="e">
        <f>J79*F80</f>
        <v>#DIV/0!</v>
      </c>
    </row>
    <row r="81" spans="3:10" x14ac:dyDescent="0.2">
      <c r="C81" s="154"/>
      <c r="D81" s="155" t="s">
        <v>70</v>
      </c>
      <c r="E81" s="156"/>
      <c r="F81" s="157"/>
      <c r="G81" s="158"/>
      <c r="H81" s="159">
        <f>H80</f>
        <v>0</v>
      </c>
      <c r="I81" s="158"/>
      <c r="J81" s="159" t="e">
        <f>J80</f>
        <v>#DIV/0!</v>
      </c>
    </row>
    <row r="82" spans="3:10" ht="13.5" thickBot="1" x14ac:dyDescent="0.25">
      <c r="C82" s="20"/>
      <c r="D82" s="21" t="s">
        <v>273</v>
      </c>
      <c r="E82" s="41"/>
      <c r="F82" s="42"/>
      <c r="G82" s="43"/>
      <c r="H82" s="140">
        <f>H79+H81</f>
        <v>0</v>
      </c>
      <c r="I82" s="43"/>
      <c r="J82" s="140" t="e">
        <f>J79+J81</f>
        <v>#DIV/0!</v>
      </c>
    </row>
    <row r="83" spans="3:10" ht="13.5" thickBot="1" x14ac:dyDescent="0.25">
      <c r="C83" s="19"/>
      <c r="D83" s="19"/>
      <c r="E83" s="19"/>
      <c r="F83" s="19"/>
      <c r="G83" s="44"/>
      <c r="H83" s="62"/>
      <c r="I83" s="62"/>
    </row>
    <row r="84" spans="3:10" x14ac:dyDescent="0.2">
      <c r="C84" s="59">
        <v>4</v>
      </c>
      <c r="D84" s="27" t="s">
        <v>286</v>
      </c>
      <c r="E84" s="65" t="s">
        <v>3</v>
      </c>
      <c r="F84" s="66" t="s">
        <v>4</v>
      </c>
      <c r="G84" s="28" t="s">
        <v>215</v>
      </c>
      <c r="H84" s="67" t="s">
        <v>216</v>
      </c>
      <c r="I84" s="28" t="str">
        <f>+I41</f>
        <v>Cantidad</v>
      </c>
      <c r="J84" s="67" t="str">
        <f>+J41</f>
        <v>Costo Total</v>
      </c>
    </row>
    <row r="85" spans="3:10" x14ac:dyDescent="0.2">
      <c r="C85" s="12" t="s">
        <v>137</v>
      </c>
      <c r="D85" s="13" t="s">
        <v>380</v>
      </c>
      <c r="E85" s="14" t="s">
        <v>336</v>
      </c>
      <c r="F85" s="209"/>
      <c r="G85" s="79"/>
      <c r="H85" s="81">
        <f>F85*G85</f>
        <v>0</v>
      </c>
      <c r="I85" s="220" t="e">
        <f>+J15/24</f>
        <v>#DIV/0!</v>
      </c>
      <c r="J85" s="217" t="e">
        <f>+I85*G85</f>
        <v>#DIV/0!</v>
      </c>
    </row>
    <row r="86" spans="3:10" x14ac:dyDescent="0.2">
      <c r="C86" s="12" t="s">
        <v>138</v>
      </c>
      <c r="D86" s="13" t="s">
        <v>152</v>
      </c>
      <c r="E86" s="14" t="s">
        <v>121</v>
      </c>
      <c r="F86" s="209"/>
      <c r="G86" s="79"/>
      <c r="H86" s="81">
        <f t="shared" ref="H86:H92" si="10">F86*G86</f>
        <v>0</v>
      </c>
      <c r="I86" s="220"/>
      <c r="J86" s="217"/>
    </row>
    <row r="87" spans="3:10" x14ac:dyDescent="0.2">
      <c r="C87" s="12" t="s">
        <v>139</v>
      </c>
      <c r="D87" s="13" t="s">
        <v>154</v>
      </c>
      <c r="E87" s="14" t="s">
        <v>121</v>
      </c>
      <c r="F87" s="209"/>
      <c r="G87" s="79"/>
      <c r="H87" s="81">
        <f t="shared" si="10"/>
        <v>0</v>
      </c>
      <c r="I87" s="220"/>
      <c r="J87" s="217"/>
    </row>
    <row r="88" spans="3:10" x14ac:dyDescent="0.2">
      <c r="C88" s="12" t="s">
        <v>140</v>
      </c>
      <c r="D88" s="13" t="s">
        <v>153</v>
      </c>
      <c r="E88" s="14" t="s">
        <v>121</v>
      </c>
      <c r="F88" s="209"/>
      <c r="G88" s="79"/>
      <c r="H88" s="81">
        <f t="shared" si="10"/>
        <v>0</v>
      </c>
      <c r="I88" s="220"/>
      <c r="J88" s="217"/>
    </row>
    <row r="89" spans="3:10" x14ac:dyDescent="0.2">
      <c r="C89" s="12" t="s">
        <v>141</v>
      </c>
      <c r="D89" s="13" t="s">
        <v>155</v>
      </c>
      <c r="E89" s="14" t="s">
        <v>121</v>
      </c>
      <c r="F89" s="209"/>
      <c r="G89" s="79"/>
      <c r="H89" s="81">
        <f t="shared" si="10"/>
        <v>0</v>
      </c>
      <c r="I89" s="220"/>
      <c r="J89" s="217"/>
    </row>
    <row r="90" spans="3:10" x14ac:dyDescent="0.2">
      <c r="C90" s="12" t="s">
        <v>142</v>
      </c>
      <c r="D90" s="13" t="s">
        <v>156</v>
      </c>
      <c r="E90" s="14" t="s">
        <v>121</v>
      </c>
      <c r="F90" s="209"/>
      <c r="G90" s="79"/>
      <c r="H90" s="81">
        <f t="shared" si="10"/>
        <v>0</v>
      </c>
      <c r="I90" s="220" t="e">
        <f>+F90*J15/H17</f>
        <v>#DIV/0!</v>
      </c>
      <c r="J90" s="217" t="e">
        <f>+I90*G90</f>
        <v>#DIV/0!</v>
      </c>
    </row>
    <row r="91" spans="3:10" x14ac:dyDescent="0.2">
      <c r="C91" s="12" t="s">
        <v>143</v>
      </c>
      <c r="D91" s="13" t="s">
        <v>157</v>
      </c>
      <c r="E91" s="14" t="s">
        <v>121</v>
      </c>
      <c r="F91" s="209"/>
      <c r="G91" s="79"/>
      <c r="H91" s="81">
        <f t="shared" si="10"/>
        <v>0</v>
      </c>
      <c r="I91" s="220"/>
      <c r="J91" s="217"/>
    </row>
    <row r="92" spans="3:10" x14ac:dyDescent="0.2">
      <c r="C92" s="12" t="s">
        <v>144</v>
      </c>
      <c r="D92" s="13" t="s">
        <v>158</v>
      </c>
      <c r="E92" s="14" t="s">
        <v>121</v>
      </c>
      <c r="F92" s="209"/>
      <c r="G92" s="79"/>
      <c r="H92" s="81">
        <f t="shared" si="10"/>
        <v>0</v>
      </c>
      <c r="I92" s="220"/>
      <c r="J92" s="217"/>
    </row>
    <row r="93" spans="3:10" x14ac:dyDescent="0.2">
      <c r="C93" s="12" t="s">
        <v>145</v>
      </c>
      <c r="D93" s="13" t="s">
        <v>318</v>
      </c>
      <c r="E93" s="14" t="s">
        <v>77</v>
      </c>
      <c r="F93" s="209"/>
      <c r="G93" s="79"/>
      <c r="H93" s="81">
        <f t="shared" ref="H93:H97" si="11">F93*G93</f>
        <v>0</v>
      </c>
      <c r="I93" s="220"/>
      <c r="J93" s="217"/>
    </row>
    <row r="94" spans="3:10" x14ac:dyDescent="0.2">
      <c r="C94" s="12" t="s">
        <v>146</v>
      </c>
      <c r="D94" s="13" t="s">
        <v>319</v>
      </c>
      <c r="E94" s="14" t="s">
        <v>5</v>
      </c>
      <c r="F94" s="209"/>
      <c r="G94" s="79"/>
      <c r="H94" s="81">
        <f t="shared" si="11"/>
        <v>0</v>
      </c>
      <c r="I94" s="220"/>
      <c r="J94" s="217"/>
    </row>
    <row r="95" spans="3:10" x14ac:dyDescent="0.2">
      <c r="C95" s="12" t="s">
        <v>147</v>
      </c>
      <c r="D95" s="13"/>
      <c r="E95" s="14"/>
      <c r="F95" s="209"/>
      <c r="G95" s="79"/>
      <c r="H95" s="81">
        <f t="shared" si="11"/>
        <v>0</v>
      </c>
      <c r="I95" s="220"/>
      <c r="J95" s="217"/>
    </row>
    <row r="96" spans="3:10" x14ac:dyDescent="0.2">
      <c r="C96" s="12" t="s">
        <v>148</v>
      </c>
      <c r="D96" s="13"/>
      <c r="E96" s="14"/>
      <c r="F96" s="209"/>
      <c r="G96" s="79"/>
      <c r="H96" s="81">
        <f t="shared" si="11"/>
        <v>0</v>
      </c>
      <c r="I96" s="220"/>
      <c r="J96" s="217"/>
    </row>
    <row r="97" spans="1:10" x14ac:dyDescent="0.2">
      <c r="C97" s="12" t="s">
        <v>149</v>
      </c>
      <c r="D97" s="13"/>
      <c r="E97" s="14"/>
      <c r="F97" s="209"/>
      <c r="G97" s="79"/>
      <c r="H97" s="81">
        <f t="shared" si="11"/>
        <v>0</v>
      </c>
      <c r="I97" s="220">
        <f>+F97</f>
        <v>0</v>
      </c>
      <c r="J97" s="81" t="e">
        <f>+G97*$J$15/$H$17</f>
        <v>#DIV/0!</v>
      </c>
    </row>
    <row r="98" spans="1:10" x14ac:dyDescent="0.2">
      <c r="C98" s="154"/>
      <c r="D98" s="155" t="s">
        <v>208</v>
      </c>
      <c r="E98" s="156"/>
      <c r="F98" s="157"/>
      <c r="G98" s="158"/>
      <c r="H98" s="159">
        <f>SUM(H85:H97)</f>
        <v>0</v>
      </c>
      <c r="I98" s="158"/>
      <c r="J98" s="159" t="e">
        <f>SUM(J85:J97)</f>
        <v>#DIV/0!</v>
      </c>
    </row>
    <row r="99" spans="1:10" x14ac:dyDescent="0.2">
      <c r="C99" s="80"/>
      <c r="D99" s="78" t="s">
        <v>209</v>
      </c>
      <c r="E99" s="30" t="s">
        <v>0</v>
      </c>
      <c r="F99" s="191">
        <f>H9</f>
        <v>0.05</v>
      </c>
      <c r="G99" s="40">
        <f>H98</f>
        <v>0</v>
      </c>
      <c r="H99" s="18">
        <f>G99*F99</f>
        <v>0</v>
      </c>
      <c r="I99" s="40"/>
      <c r="J99" s="18" t="e">
        <f>J98*F99</f>
        <v>#DIV/0!</v>
      </c>
    </row>
    <row r="100" spans="1:10" x14ac:dyDescent="0.2">
      <c r="C100" s="154"/>
      <c r="D100" s="155" t="s">
        <v>210</v>
      </c>
      <c r="E100" s="156"/>
      <c r="F100" s="157"/>
      <c r="G100" s="158"/>
      <c r="H100" s="159">
        <f>H99</f>
        <v>0</v>
      </c>
      <c r="I100" s="158"/>
      <c r="J100" s="159" t="e">
        <f>J99</f>
        <v>#DIV/0!</v>
      </c>
    </row>
    <row r="101" spans="1:10" ht="13.5" thickBot="1" x14ac:dyDescent="0.25">
      <c r="C101" s="20"/>
      <c r="D101" s="21" t="s">
        <v>267</v>
      </c>
      <c r="E101" s="41"/>
      <c r="F101" s="42"/>
      <c r="G101" s="43"/>
      <c r="H101" s="140">
        <f>H98+H100</f>
        <v>0</v>
      </c>
      <c r="I101" s="43"/>
      <c r="J101" s="140" t="e">
        <f>J98+J100</f>
        <v>#DIV/0!</v>
      </c>
    </row>
    <row r="102" spans="1:10" ht="13.5" thickBot="1" x14ac:dyDescent="0.25">
      <c r="C102" s="5"/>
      <c r="D102" s="5"/>
      <c r="E102" s="5"/>
      <c r="F102" s="5"/>
      <c r="G102" s="44"/>
      <c r="H102" s="63"/>
      <c r="I102" s="63"/>
    </row>
    <row r="103" spans="1:10" x14ac:dyDescent="0.2">
      <c r="A103" s="9"/>
      <c r="C103" s="148">
        <v>5</v>
      </c>
      <c r="D103" s="27" t="s">
        <v>305</v>
      </c>
      <c r="E103" s="65" t="s">
        <v>3</v>
      </c>
      <c r="F103" s="66" t="s">
        <v>4</v>
      </c>
      <c r="G103" s="28" t="s">
        <v>215</v>
      </c>
      <c r="H103" s="67" t="s">
        <v>216</v>
      </c>
      <c r="I103" s="28" t="str">
        <f>+I84</f>
        <v>Cantidad</v>
      </c>
      <c r="J103" s="67" t="str">
        <f>+J84</f>
        <v>Costo Total</v>
      </c>
    </row>
    <row r="104" spans="1:10" ht="12.75" customHeight="1" x14ac:dyDescent="0.2">
      <c r="A104" s="9"/>
      <c r="C104" s="12" t="s">
        <v>307</v>
      </c>
      <c r="D104" s="13" t="s">
        <v>381</v>
      </c>
      <c r="E104" s="14" t="s">
        <v>5</v>
      </c>
      <c r="F104" s="209"/>
      <c r="G104" s="79"/>
      <c r="H104" s="81">
        <f t="shared" ref="H104" si="12">F104*G104</f>
        <v>0</v>
      </c>
      <c r="I104" s="79" t="e">
        <f>+$J$15/$H$17*F104</f>
        <v>#DIV/0!</v>
      </c>
      <c r="J104" s="81" t="e">
        <f>+I104*G104</f>
        <v>#DIV/0!</v>
      </c>
    </row>
    <row r="105" spans="1:10" ht="12.75" customHeight="1" x14ac:dyDescent="0.2">
      <c r="A105" s="9"/>
      <c r="C105" s="12" t="s">
        <v>308</v>
      </c>
      <c r="D105" s="13" t="s">
        <v>306</v>
      </c>
      <c r="E105" s="14" t="s">
        <v>5</v>
      </c>
      <c r="F105" s="209"/>
      <c r="G105" s="79"/>
      <c r="H105" s="81">
        <f t="shared" ref="H105:H109" si="13">F105*G105</f>
        <v>0</v>
      </c>
      <c r="I105" s="79" t="e">
        <f>+$J$15/$H$17*F105</f>
        <v>#DIV/0!</v>
      </c>
      <c r="J105" s="81" t="e">
        <f>+I105*G105</f>
        <v>#DIV/0!</v>
      </c>
    </row>
    <row r="106" spans="1:10" ht="12.75" customHeight="1" x14ac:dyDescent="0.2">
      <c r="A106" s="9"/>
      <c r="C106" s="12" t="s">
        <v>309</v>
      </c>
      <c r="D106" s="13"/>
      <c r="E106" s="14"/>
      <c r="F106" s="209"/>
      <c r="G106" s="79"/>
      <c r="H106" s="81">
        <f t="shared" si="13"/>
        <v>0</v>
      </c>
      <c r="I106" s="79" t="e">
        <f t="shared" ref="I106:I108" si="14">+$J$15/$H$17*F106</f>
        <v>#DIV/0!</v>
      </c>
      <c r="J106" s="81" t="e">
        <f t="shared" ref="J106:J108" si="15">+I106*G106</f>
        <v>#DIV/0!</v>
      </c>
    </row>
    <row r="107" spans="1:10" ht="12.75" customHeight="1" x14ac:dyDescent="0.2">
      <c r="A107" s="9"/>
      <c r="C107" s="12" t="s">
        <v>310</v>
      </c>
      <c r="D107" s="13"/>
      <c r="E107" s="14"/>
      <c r="F107" s="209"/>
      <c r="G107" s="79"/>
      <c r="H107" s="81">
        <f t="shared" si="13"/>
        <v>0</v>
      </c>
      <c r="I107" s="79" t="e">
        <f t="shared" si="14"/>
        <v>#DIV/0!</v>
      </c>
      <c r="J107" s="81" t="e">
        <f t="shared" si="15"/>
        <v>#DIV/0!</v>
      </c>
    </row>
    <row r="108" spans="1:10" ht="12.75" customHeight="1" x14ac:dyDescent="0.2">
      <c r="A108" s="9"/>
      <c r="C108" s="12" t="s">
        <v>329</v>
      </c>
      <c r="D108" s="13"/>
      <c r="E108" s="14"/>
      <c r="F108" s="209"/>
      <c r="G108" s="79"/>
      <c r="H108" s="81">
        <f t="shared" si="13"/>
        <v>0</v>
      </c>
      <c r="I108" s="79" t="e">
        <f t="shared" si="14"/>
        <v>#DIV/0!</v>
      </c>
      <c r="J108" s="81" t="e">
        <f t="shared" si="15"/>
        <v>#DIV/0!</v>
      </c>
    </row>
    <row r="109" spans="1:10" x14ac:dyDescent="0.2">
      <c r="A109" s="9"/>
      <c r="C109" s="12" t="s">
        <v>330</v>
      </c>
      <c r="D109" s="13" t="s">
        <v>50</v>
      </c>
      <c r="E109" s="14" t="s">
        <v>5</v>
      </c>
      <c r="F109" s="209"/>
      <c r="G109" s="79"/>
      <c r="H109" s="81">
        <f t="shared" si="13"/>
        <v>0</v>
      </c>
      <c r="I109" s="79">
        <f>+F109</f>
        <v>0</v>
      </c>
      <c r="J109" s="81" t="e">
        <f>+G109*$J$15/$H$17</f>
        <v>#DIV/0!</v>
      </c>
    </row>
    <row r="110" spans="1:10" x14ac:dyDescent="0.2">
      <c r="A110" s="31"/>
      <c r="C110" s="154"/>
      <c r="D110" s="155" t="s">
        <v>311</v>
      </c>
      <c r="E110" s="156"/>
      <c r="F110" s="157"/>
      <c r="G110" s="158"/>
      <c r="H110" s="159">
        <f>SUM(H104:H109)</f>
        <v>0</v>
      </c>
      <c r="I110" s="158"/>
      <c r="J110" s="159" t="e">
        <f>SUM(J104:J109)</f>
        <v>#DIV/0!</v>
      </c>
    </row>
    <row r="111" spans="1:10" x14ac:dyDescent="0.2">
      <c r="A111" s="31"/>
      <c r="C111" s="80"/>
      <c r="D111" s="78" t="s">
        <v>209</v>
      </c>
      <c r="E111" s="30" t="s">
        <v>5</v>
      </c>
      <c r="F111" s="191">
        <f>H9</f>
        <v>0.05</v>
      </c>
      <c r="G111" s="40">
        <f>H110</f>
        <v>0</v>
      </c>
      <c r="H111" s="18">
        <f>G111*F111</f>
        <v>0</v>
      </c>
      <c r="I111" s="40"/>
      <c r="J111" s="18" t="e">
        <f>J110*F111</f>
        <v>#DIV/0!</v>
      </c>
    </row>
    <row r="112" spans="1:10" x14ac:dyDescent="0.2">
      <c r="A112" s="9"/>
      <c r="C112" s="154"/>
      <c r="D112" s="155" t="s">
        <v>312</v>
      </c>
      <c r="E112" s="156"/>
      <c r="F112" s="157"/>
      <c r="G112" s="158"/>
      <c r="H112" s="159">
        <f>H111</f>
        <v>0</v>
      </c>
      <c r="I112" s="158"/>
      <c r="J112" s="159" t="e">
        <f>J111</f>
        <v>#DIV/0!</v>
      </c>
    </row>
    <row r="113" spans="1:13" ht="13.5" thickBot="1" x14ac:dyDescent="0.25">
      <c r="A113" s="9"/>
      <c r="C113" s="32"/>
      <c r="D113" s="21" t="s">
        <v>313</v>
      </c>
      <c r="E113" s="22"/>
      <c r="F113" s="23"/>
      <c r="G113" s="24"/>
      <c r="H113" s="140">
        <f>H110+H112</f>
        <v>0</v>
      </c>
      <c r="I113" s="24"/>
      <c r="J113" s="140" t="e">
        <f>J110+J112</f>
        <v>#DIV/0!</v>
      </c>
    </row>
    <row r="114" spans="1:13" x14ac:dyDescent="0.2">
      <c r="A114" s="9"/>
      <c r="C114" s="19"/>
      <c r="D114" s="19"/>
      <c r="E114" s="19"/>
      <c r="F114" s="19"/>
      <c r="G114" s="19"/>
      <c r="H114" s="33"/>
      <c r="I114" s="33"/>
    </row>
    <row r="115" spans="1:13" x14ac:dyDescent="0.2">
      <c r="C115" s="386" t="s">
        <v>257</v>
      </c>
      <c r="D115" s="387"/>
      <c r="E115" s="387"/>
      <c r="F115" s="387"/>
      <c r="G115" s="387"/>
      <c r="H115" s="387"/>
      <c r="I115" s="387"/>
      <c r="J115" s="387"/>
      <c r="M115" s="4"/>
    </row>
    <row r="116" spans="1:13" ht="15" hidden="1" x14ac:dyDescent="0.2">
      <c r="C116" s="96"/>
      <c r="D116" s="85" t="s">
        <v>199</v>
      </c>
      <c r="E116" s="90"/>
      <c r="F116" s="91"/>
      <c r="G116" s="86"/>
      <c r="H116" s="97">
        <f>SUM(F20:F34)</f>
        <v>0</v>
      </c>
      <c r="I116" s="215"/>
    </row>
    <row r="117" spans="1:13" x14ac:dyDescent="0.2">
      <c r="C117" s="92"/>
      <c r="D117" s="87" t="s">
        <v>258</v>
      </c>
      <c r="E117" s="85"/>
      <c r="F117" s="88"/>
      <c r="G117" s="89"/>
      <c r="H117" s="93">
        <f>H36+H60+H79+H98+H110</f>
        <v>0</v>
      </c>
      <c r="I117" s="215"/>
      <c r="J117" s="93" t="e">
        <f>J36+J60+J79+J98+J110</f>
        <v>#DIV/0!</v>
      </c>
    </row>
    <row r="118" spans="1:13" x14ac:dyDescent="0.2">
      <c r="C118" s="92"/>
      <c r="D118" s="87" t="s">
        <v>259</v>
      </c>
      <c r="E118" s="85"/>
      <c r="F118" s="88"/>
      <c r="G118" s="89"/>
      <c r="H118" s="93">
        <f>H38+H62+H81+H100+H112</f>
        <v>0</v>
      </c>
      <c r="I118" s="215"/>
      <c r="J118" s="93" t="e">
        <f>J38+J62+J81+J100+J112</f>
        <v>#DIV/0!</v>
      </c>
    </row>
    <row r="119" spans="1:13" x14ac:dyDescent="0.2">
      <c r="C119" s="92"/>
      <c r="D119" s="87" t="s">
        <v>260</v>
      </c>
      <c r="E119" s="85"/>
      <c r="F119" s="88"/>
      <c r="G119" s="89"/>
      <c r="H119" s="93">
        <f>SUM(H117:H118)</f>
        <v>0</v>
      </c>
      <c r="I119" s="215"/>
      <c r="J119" s="93" t="e">
        <f>SUM(J117:J118)</f>
        <v>#DIV/0!</v>
      </c>
    </row>
    <row r="120" spans="1:13" ht="15.75" thickBot="1" x14ac:dyDescent="0.3">
      <c r="C120" s="100"/>
      <c r="D120" s="99" t="s">
        <v>261</v>
      </c>
      <c r="E120" s="95"/>
      <c r="F120" s="95"/>
      <c r="G120" s="95"/>
      <c r="H120" s="146">
        <f>IFERROR(H119/H17,0)</f>
        <v>0</v>
      </c>
      <c r="I120" s="181"/>
    </row>
    <row r="121" spans="1:13" x14ac:dyDescent="0.2">
      <c r="A121" s="4"/>
      <c r="B121" s="4"/>
      <c r="C121" s="5"/>
      <c r="D121" s="5"/>
    </row>
    <row r="122" spans="1:13" x14ac:dyDescent="0.2">
      <c r="A122" s="4"/>
      <c r="B122" s="4"/>
      <c r="C122" s="5"/>
      <c r="D122" s="5"/>
    </row>
  </sheetData>
  <mergeCells count="21">
    <mergeCell ref="J13:J14"/>
    <mergeCell ref="I18:J18"/>
    <mergeCell ref="C115:J115"/>
    <mergeCell ref="J5:J6"/>
    <mergeCell ref="C2:H2"/>
    <mergeCell ref="F16:G16"/>
    <mergeCell ref="F17:G17"/>
    <mergeCell ref="D4:F4"/>
    <mergeCell ref="E5:F5"/>
    <mergeCell ref="E6:F6"/>
    <mergeCell ref="E7:F7"/>
    <mergeCell ref="E8:F8"/>
    <mergeCell ref="E9:F9"/>
    <mergeCell ref="E11:F11"/>
    <mergeCell ref="E10:F10"/>
    <mergeCell ref="F14:G14"/>
    <mergeCell ref="F15:G15"/>
    <mergeCell ref="F13:H13"/>
    <mergeCell ref="D13:E13"/>
    <mergeCell ref="H5:H8"/>
    <mergeCell ref="C18:H18"/>
  </mergeCells>
  <dataValidations count="5">
    <dataValidation type="list" allowBlank="1" showInputMessage="1" showErrorMessage="1" sqref="E66">
      <formula1>"Global,kg"</formula1>
    </dataValidation>
    <dataValidation type="list" allowBlank="1" showInputMessage="1" showErrorMessage="1" sqref="E51">
      <formula1>"unidad,kg empacado,rollo"</formula1>
    </dataValidation>
    <dataValidation type="list" allowBlank="1" showInputMessage="1" showErrorMessage="1" sqref="E52">
      <formula1>"caja,bolsa plástica,unidad"</formula1>
    </dataValidation>
    <dataValidation type="list" allowBlank="1" showInputMessage="1" showErrorMessage="1" sqref="E85">
      <formula1>"Falor facturado,Etiqueta"</formula1>
    </dataValidation>
    <dataValidation type="list" allowBlank="1" showInputMessage="1" showErrorMessage="1" sqref="J7">
      <formula1>"Calculado,1 a 10"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46" orientation="portrait" horizontalDpi="4294967292" r:id="rId1"/>
  <headerFooter>
    <oddHeader>&amp;C&amp;"Arial,Negrita"&amp;11
&amp;F</oddHeader>
    <oddFooter>&amp;CFederación Nacional de productores de panela - Fedepanela
Programa Comercial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2:W51"/>
  <sheetViews>
    <sheetView showGridLines="0" tabSelected="1" zoomScale="145" zoomScaleNormal="145" zoomScaleSheetLayoutView="145" workbookViewId="0">
      <selection activeCell="U6" sqref="U6"/>
    </sheetView>
  </sheetViews>
  <sheetFormatPr baseColWidth="10" defaultRowHeight="12.75" x14ac:dyDescent="0.2"/>
  <cols>
    <col min="1" max="1" width="2.140625" style="4" customWidth="1"/>
    <col min="2" max="2" width="2.140625" style="5" customWidth="1"/>
    <col min="3" max="3" width="15.5703125" customWidth="1"/>
    <col min="4" max="4" width="19" customWidth="1"/>
    <col min="5" max="5" width="15" customWidth="1"/>
    <col min="6" max="6" width="12.85546875" customWidth="1"/>
    <col min="7" max="7" width="12.42578125" customWidth="1"/>
    <col min="8" max="8" width="17" customWidth="1"/>
    <col min="9" max="9" width="11.42578125" customWidth="1"/>
    <col min="11" max="11" width="1.7109375" customWidth="1"/>
    <col min="13" max="13" width="13.28515625" hidden="1" customWidth="1"/>
    <col min="14" max="14" width="33" hidden="1" customWidth="1"/>
    <col min="15" max="15" width="14.85546875" hidden="1" customWidth="1"/>
    <col min="16" max="18" width="13.28515625" hidden="1" customWidth="1"/>
    <col min="19" max="19" width="12.28515625" bestFit="1" customWidth="1"/>
    <col min="21" max="21" width="13.28515625" bestFit="1" customWidth="1"/>
    <col min="23" max="23" width="12.28515625" bestFit="1" customWidth="1"/>
    <col min="24" max="24" width="13.28515625" bestFit="1" customWidth="1"/>
  </cols>
  <sheetData>
    <row r="2" spans="1:20" x14ac:dyDescent="0.2">
      <c r="C2" s="413" t="s">
        <v>103</v>
      </c>
      <c r="D2" s="413"/>
      <c r="E2" s="413"/>
    </row>
    <row r="3" spans="1:20" x14ac:dyDescent="0.2">
      <c r="B3" s="69"/>
      <c r="C3" s="396" t="s">
        <v>279</v>
      </c>
      <c r="D3" s="396"/>
      <c r="E3" s="233">
        <f>+'Producción panela'!E14</f>
        <v>0</v>
      </c>
      <c r="G3" s="403" t="str">
        <f>'Costos siembra nueva'!D13</f>
        <v>Tiempo de renovación (cantidad de cortes)</v>
      </c>
      <c r="H3" s="403"/>
      <c r="I3" s="403"/>
      <c r="J3" s="198">
        <f>'Costos siembra nueva'!E13</f>
        <v>0</v>
      </c>
      <c r="N3" s="398" t="s">
        <v>354</v>
      </c>
      <c r="O3" s="399"/>
      <c r="P3" s="399"/>
      <c r="Q3" s="399"/>
      <c r="R3" s="400"/>
    </row>
    <row r="4" spans="1:20" x14ac:dyDescent="0.2">
      <c r="C4" s="396" t="s">
        <v>89</v>
      </c>
      <c r="D4" s="396"/>
      <c r="E4" s="139">
        <f>'Producción mieles'!E15</f>
        <v>0</v>
      </c>
      <c r="N4" s="269" t="s">
        <v>353</v>
      </c>
      <c r="O4" s="269" t="s">
        <v>4</v>
      </c>
      <c r="P4" s="397" t="s">
        <v>362</v>
      </c>
      <c r="Q4" s="397"/>
      <c r="R4" s="397"/>
    </row>
    <row r="5" spans="1:20" x14ac:dyDescent="0.2">
      <c r="C5" s="396" t="s">
        <v>83</v>
      </c>
      <c r="D5" s="396"/>
      <c r="E5" s="54">
        <f>+'Producción panela'!E15</f>
        <v>0</v>
      </c>
      <c r="N5" s="236" t="s">
        <v>355</v>
      </c>
      <c r="O5" s="238"/>
      <c r="P5" s="238" t="s">
        <v>367</v>
      </c>
      <c r="Q5" s="238" t="s">
        <v>357</v>
      </c>
      <c r="R5" s="238" t="s">
        <v>358</v>
      </c>
    </row>
    <row r="6" spans="1:20" ht="12.75" customHeight="1" x14ac:dyDescent="0.2">
      <c r="A6" s="166"/>
      <c r="B6" s="4"/>
      <c r="C6" s="396" t="s">
        <v>102</v>
      </c>
      <c r="D6" s="396"/>
      <c r="E6" s="233">
        <f>+'Producción panela'!E16</f>
        <v>0</v>
      </c>
      <c r="I6" s="4"/>
      <c r="J6" s="53"/>
      <c r="K6" s="4"/>
      <c r="N6" s="237" t="s">
        <v>357</v>
      </c>
      <c r="O6" s="241">
        <f>+SUM('Costos siembra nueva'!F17:F28)</f>
        <v>0</v>
      </c>
      <c r="P6" s="242" t="e">
        <f>+Q6/J3</f>
        <v>#DIV/0!</v>
      </c>
      <c r="Q6" s="243">
        <f>+'Costos siembra nueva'!H33</f>
        <v>0</v>
      </c>
      <c r="R6" s="243"/>
    </row>
    <row r="7" spans="1:20" ht="12.75" customHeight="1" x14ac:dyDescent="0.2">
      <c r="A7" s="150"/>
      <c r="B7" s="153"/>
      <c r="C7" s="396" t="s">
        <v>105</v>
      </c>
      <c r="D7" s="396"/>
      <c r="E7" s="233">
        <f>+'Producción panela'!E17</f>
        <v>0</v>
      </c>
      <c r="I7" s="4"/>
      <c r="N7" s="237" t="s">
        <v>358</v>
      </c>
      <c r="O7" s="241">
        <f>+SUM('Mantenimiento de cultivo'!F17:F30)</f>
        <v>0</v>
      </c>
      <c r="P7" s="243" t="e">
        <f>+R7*Cosecha!F12/'Mantenimiento de cultivo'!E14</f>
        <v>#DIV/0!</v>
      </c>
      <c r="Q7" s="243"/>
      <c r="R7" s="243">
        <f>+'Mantenimiento de cultivo'!H35</f>
        <v>0</v>
      </c>
    </row>
    <row r="8" spans="1:20" x14ac:dyDescent="0.2">
      <c r="A8" s="150"/>
      <c r="B8" s="153"/>
      <c r="I8" s="4"/>
      <c r="N8" s="237" t="s">
        <v>356</v>
      </c>
      <c r="O8" s="241">
        <f>+SUM(Cosecha!F20:F27)</f>
        <v>0</v>
      </c>
      <c r="P8" s="243">
        <f>+Cosecha!H32</f>
        <v>0</v>
      </c>
      <c r="Q8" s="243" t="e">
        <f>+Cosecha!H32*'Costos siembra nueva'!E14/Cosecha!F12</f>
        <v>#DIV/0!</v>
      </c>
      <c r="R8" s="243" t="e">
        <f>+Cosecha!H32*'Mantenimiento de cultivo'!E14/Cosecha!F12</f>
        <v>#DIV/0!</v>
      </c>
    </row>
    <row r="9" spans="1:20" x14ac:dyDescent="0.2">
      <c r="A9" s="150"/>
      <c r="B9" s="153"/>
      <c r="C9" s="417" t="s">
        <v>90</v>
      </c>
      <c r="D9" s="417"/>
      <c r="E9" s="417"/>
      <c r="F9" s="417"/>
      <c r="G9" s="417"/>
      <c r="H9" s="417"/>
      <c r="N9" s="237" t="s">
        <v>359</v>
      </c>
      <c r="O9" s="244" t="e">
        <f>+SUM('Producción panela'!F20:F35)*'Producción panela'!J15/'Producción panela'!H17</f>
        <v>#DIV/0!</v>
      </c>
      <c r="P9" s="243" t="e">
        <f>+'Producción panela'!J39</f>
        <v>#DIV/0!</v>
      </c>
      <c r="Q9" s="243" t="e">
        <f>+'Producción panela'!J39*P42/P44</f>
        <v>#DIV/0!</v>
      </c>
      <c r="R9" s="243" t="e">
        <f>+'Producción panela'!J39*P43/P44</f>
        <v>#DIV/0!</v>
      </c>
    </row>
    <row r="10" spans="1:20" ht="21.75" customHeight="1" x14ac:dyDescent="0.2">
      <c r="A10" s="150"/>
      <c r="B10" s="153"/>
      <c r="C10" s="418" t="s">
        <v>92</v>
      </c>
      <c r="D10" s="418" t="s">
        <v>93</v>
      </c>
      <c r="E10" s="418" t="s">
        <v>80</v>
      </c>
      <c r="F10" s="418" t="s">
        <v>81</v>
      </c>
      <c r="G10" s="418" t="s">
        <v>82</v>
      </c>
      <c r="H10" s="418" t="s">
        <v>94</v>
      </c>
      <c r="I10" s="2"/>
      <c r="J10" s="408" t="s">
        <v>256</v>
      </c>
      <c r="N10" s="234" t="s">
        <v>360</v>
      </c>
      <c r="O10" s="281" t="e">
        <f>+O7+O8+O9</f>
        <v>#DIV/0!</v>
      </c>
      <c r="P10" s="235" t="e">
        <f>P6+P7+P8+P9</f>
        <v>#DIV/0!</v>
      </c>
      <c r="Q10" s="235" t="e">
        <f>+SUM(Q6:Q9)</f>
        <v>#DIV/0!</v>
      </c>
      <c r="R10" s="235" t="e">
        <f>+SUM(R6:R9)</f>
        <v>#DIV/0!</v>
      </c>
    </row>
    <row r="11" spans="1:20" ht="21.75" customHeight="1" x14ac:dyDescent="0.2">
      <c r="A11" s="150"/>
      <c r="B11" s="153"/>
      <c r="C11" s="418"/>
      <c r="D11" s="418"/>
      <c r="E11" s="418"/>
      <c r="F11" s="418"/>
      <c r="G11" s="418"/>
      <c r="H11" s="418"/>
      <c r="J11" s="408"/>
      <c r="N11" s="254" t="s">
        <v>361</v>
      </c>
      <c r="O11" s="255"/>
      <c r="P11" s="256" t="s">
        <v>367</v>
      </c>
      <c r="Q11" s="256" t="s">
        <v>357</v>
      </c>
      <c r="R11" s="256" t="s">
        <v>358</v>
      </c>
    </row>
    <row r="12" spans="1:20" x14ac:dyDescent="0.2">
      <c r="A12" s="152"/>
      <c r="B12" s="4"/>
      <c r="C12" s="45">
        <f>IFERROR(((E6-E7)*E3/E4/100),0)</f>
        <v>0</v>
      </c>
      <c r="D12" s="46">
        <f>IFERROR(1/C12,0)</f>
        <v>0</v>
      </c>
      <c r="E12" s="136">
        <f>IFERROR(('Costos siembra nueva'!H79/J3+'Mantenimiento de cultivo'!H81),0)</f>
        <v>0</v>
      </c>
      <c r="F12" s="136">
        <f>Cosecha!H64</f>
        <v>0</v>
      </c>
      <c r="G12" s="136">
        <f>F12+E12/(1-J12)</f>
        <v>0</v>
      </c>
      <c r="H12" s="137">
        <f>G12*D12</f>
        <v>0</v>
      </c>
      <c r="J12" s="58"/>
      <c r="N12" s="255" t="str">
        <f>+N6</f>
        <v>Siembra nueva</v>
      </c>
      <c r="O12" s="252" t="s">
        <v>5</v>
      </c>
      <c r="P12" s="253" t="e">
        <f>+Q12/J3</f>
        <v>#DIV/0!</v>
      </c>
      <c r="Q12" s="253">
        <f>+'Costos siembra nueva'!H56</f>
        <v>0</v>
      </c>
      <c r="R12" s="253"/>
    </row>
    <row r="13" spans="1:20" x14ac:dyDescent="0.2">
      <c r="A13" s="150"/>
      <c r="B13" s="153"/>
      <c r="N13" s="255" t="str">
        <f t="shared" ref="N13:N15" si="0">+N7</f>
        <v>Mantenimiento</v>
      </c>
      <c r="O13" s="252" t="s">
        <v>5</v>
      </c>
      <c r="P13" s="253" t="e">
        <f>+R13*Cosecha!F12/'Mantenimiento de cultivo'!E14</f>
        <v>#DIV/0!</v>
      </c>
      <c r="Q13" s="253"/>
      <c r="R13" s="253">
        <f>+'Mantenimiento de cultivo'!H61</f>
        <v>0</v>
      </c>
    </row>
    <row r="14" spans="1:20" x14ac:dyDescent="0.2">
      <c r="A14" s="152"/>
      <c r="B14" s="152"/>
      <c r="C14" s="415" t="s">
        <v>262</v>
      </c>
      <c r="D14" s="415"/>
      <c r="E14" s="47">
        <f>'Producción mieles'!H117</f>
        <v>0</v>
      </c>
      <c r="F14" s="50" t="s">
        <v>95</v>
      </c>
      <c r="N14" s="255" t="str">
        <f t="shared" si="0"/>
        <v>Cosecha</v>
      </c>
      <c r="O14" s="252" t="s">
        <v>5</v>
      </c>
      <c r="P14" s="253">
        <f>+Cosecha!H43</f>
        <v>0</v>
      </c>
      <c r="Q14" s="253" t="e">
        <f>+Cosecha!H43*'Costos siembra nueva'!E14/Cosecha!F12</f>
        <v>#DIV/0!</v>
      </c>
      <c r="R14" s="253" t="e">
        <f>+Cosecha!H43*'Mantenimiento de cultivo'!E14/Cosecha!F12</f>
        <v>#DIV/0!</v>
      </c>
      <c r="T14" s="55"/>
    </row>
    <row r="15" spans="1:20" x14ac:dyDescent="0.2">
      <c r="C15" s="406" t="s">
        <v>99</v>
      </c>
      <c r="D15" s="407"/>
      <c r="E15" s="52">
        <f>H12</f>
        <v>0</v>
      </c>
      <c r="F15" s="50" t="s">
        <v>96</v>
      </c>
      <c r="N15" s="255" t="str">
        <f t="shared" si="0"/>
        <v>Transformación</v>
      </c>
      <c r="O15" s="252" t="s">
        <v>5</v>
      </c>
      <c r="P15" s="253" t="e">
        <f>+'Producción panela'!J63</f>
        <v>#DIV/0!</v>
      </c>
      <c r="Q15" s="253" t="e">
        <f>+'Producción panela'!J63*P42/P44</f>
        <v>#DIV/0!</v>
      </c>
      <c r="R15" s="253" t="e">
        <f>+'Producción panela'!J63*P43/P44</f>
        <v>#DIV/0!</v>
      </c>
    </row>
    <row r="16" spans="1:20" ht="15.75" x14ac:dyDescent="0.25">
      <c r="C16" s="416" t="s">
        <v>98</v>
      </c>
      <c r="D16" s="416"/>
      <c r="E16" s="51">
        <f>E15+E14</f>
        <v>0</v>
      </c>
      <c r="F16" s="50" t="s">
        <v>97</v>
      </c>
      <c r="N16" s="248" t="s">
        <v>360</v>
      </c>
      <c r="O16" s="249"/>
      <c r="P16" s="250" t="e">
        <f>+P12+P13+P14+P15</f>
        <v>#DIV/0!</v>
      </c>
      <c r="Q16" s="251" t="e">
        <f>+SUM(Q12:Q15)</f>
        <v>#DIV/0!</v>
      </c>
      <c r="R16" s="251" t="e">
        <f>+SUM(R12:R15)</f>
        <v>#DIV/0!</v>
      </c>
      <c r="T16" s="55"/>
    </row>
    <row r="18" spans="3:18" x14ac:dyDescent="0.2">
      <c r="C18" s="414" t="s">
        <v>91</v>
      </c>
      <c r="D18" s="414"/>
      <c r="E18" s="414"/>
      <c r="F18" s="414"/>
      <c r="G18" s="414"/>
      <c r="H18" s="414"/>
      <c r="N18" s="259" t="s">
        <v>73</v>
      </c>
      <c r="O18" s="260"/>
      <c r="P18" s="261" t="s">
        <v>367</v>
      </c>
      <c r="Q18" s="261" t="s">
        <v>357</v>
      </c>
      <c r="R18" s="261" t="s">
        <v>358</v>
      </c>
    </row>
    <row r="19" spans="3:18" ht="21.75" customHeight="1" x14ac:dyDescent="0.2">
      <c r="C19" s="401" t="s">
        <v>78</v>
      </c>
      <c r="D19" s="401" t="s">
        <v>79</v>
      </c>
      <c r="E19" s="401" t="s">
        <v>80</v>
      </c>
      <c r="F19" s="401" t="s">
        <v>81</v>
      </c>
      <c r="G19" s="401" t="s">
        <v>82</v>
      </c>
      <c r="H19" s="401" t="s">
        <v>104</v>
      </c>
      <c r="K19" s="16"/>
      <c r="L19" s="55"/>
      <c r="N19" s="260" t="str">
        <f>+N12</f>
        <v>Siembra nueva</v>
      </c>
      <c r="O19" s="257" t="s">
        <v>5</v>
      </c>
      <c r="P19" s="258" t="e">
        <f>+Q19/J3</f>
        <v>#DIV/0!</v>
      </c>
      <c r="Q19" s="258">
        <f>+SUM('Costos siembra nueva'!H60:H62)*(1+'Costos siembra nueva'!H13)</f>
        <v>0</v>
      </c>
      <c r="R19" s="258"/>
    </row>
    <row r="20" spans="3:18" ht="21.75" customHeight="1" x14ac:dyDescent="0.2">
      <c r="C20" s="402"/>
      <c r="D20" s="402"/>
      <c r="E20" s="402"/>
      <c r="F20" s="402"/>
      <c r="G20" s="402"/>
      <c r="H20" s="402"/>
      <c r="N20" s="260" t="str">
        <f t="shared" ref="N20:N23" si="1">+N13</f>
        <v>Mantenimiento</v>
      </c>
      <c r="O20" s="257" t="s">
        <v>5</v>
      </c>
      <c r="P20" s="258" t="e">
        <f>+R20*Cosecha!F12/'Mantenimiento de cultivo'!E14</f>
        <v>#DIV/0!</v>
      </c>
      <c r="Q20" s="258"/>
      <c r="R20" s="258">
        <f>+SUM('Mantenimiento de cultivo'!H64:H65)*(1+'Costos siembra nueva'!H13)</f>
        <v>0</v>
      </c>
    </row>
    <row r="21" spans="3:18" x14ac:dyDescent="0.2">
      <c r="C21" s="48">
        <f>IFERROR(((E6-E7)*E3/E5/100),0)</f>
        <v>0</v>
      </c>
      <c r="D21" s="48">
        <f>IFERROR(1/C21,0)</f>
        <v>0</v>
      </c>
      <c r="E21" s="135">
        <f>IFERROR(('Costos siembra nueva'!H79/J3+'Mantenimiento de cultivo'!H81),0)</f>
        <v>0</v>
      </c>
      <c r="F21" s="135">
        <f>Cosecha!H64</f>
        <v>0</v>
      </c>
      <c r="G21" s="135">
        <f>F21+E21/(1-J12)</f>
        <v>0</v>
      </c>
      <c r="H21" s="138">
        <f>G21*D21</f>
        <v>0</v>
      </c>
      <c r="N21" s="260" t="str">
        <f t="shared" si="1"/>
        <v>Cosecha</v>
      </c>
      <c r="O21" s="257" t="s">
        <v>5</v>
      </c>
      <c r="P21" s="258">
        <f>+Cosecha!H46*(1+'Costos siembra nueva'!H13)</f>
        <v>0</v>
      </c>
      <c r="Q21" s="258" t="e">
        <f>+Cosecha!H46*'Costos siembra nueva'!E14/Cosecha!F12*(1+'Costos siembra nueva'!H13)</f>
        <v>#DIV/0!</v>
      </c>
      <c r="R21" s="258" t="e">
        <f>+Cosecha!H46*'Mantenimiento de cultivo'!E14/Cosecha!F12</f>
        <v>#DIV/0!</v>
      </c>
    </row>
    <row r="22" spans="3:18" x14ac:dyDescent="0.2">
      <c r="N22" s="260" t="str">
        <f t="shared" si="1"/>
        <v>Transformación</v>
      </c>
      <c r="O22" s="257" t="s">
        <v>5</v>
      </c>
      <c r="P22" s="258" t="e">
        <f>+'Producción panela'!J70</f>
        <v>#DIV/0!</v>
      </c>
      <c r="Q22" s="258" t="e">
        <f>+P42/P44*'Producción panela'!J69</f>
        <v>#DIV/0!</v>
      </c>
      <c r="R22" s="258" t="e">
        <f>+P43/P44*'Producción panela'!J69</f>
        <v>#DIV/0!</v>
      </c>
    </row>
    <row r="23" spans="3:18" ht="12.75" customHeight="1" x14ac:dyDescent="0.2">
      <c r="C23" s="404" t="s">
        <v>263</v>
      </c>
      <c r="D23" s="405"/>
      <c r="E23" s="49">
        <f>'Producción panela'!H120</f>
        <v>0</v>
      </c>
      <c r="F23" s="50" t="s">
        <v>84</v>
      </c>
      <c r="N23" s="245" t="str">
        <f t="shared" si="1"/>
        <v>Total</v>
      </c>
      <c r="O23" s="246"/>
      <c r="P23" s="247" t="e">
        <f>+P19+P20+P21+P22</f>
        <v>#DIV/0!</v>
      </c>
      <c r="Q23" s="247" t="e">
        <f>+SUM(Q19:Q22)</f>
        <v>#DIV/0!</v>
      </c>
      <c r="R23" s="247" t="e">
        <f>+SUM(R19:R22)</f>
        <v>#DIV/0!</v>
      </c>
    </row>
    <row r="24" spans="3:18" x14ac:dyDescent="0.2">
      <c r="C24" s="406" t="s">
        <v>86</v>
      </c>
      <c r="D24" s="407"/>
      <c r="E24" s="52">
        <f>H21</f>
        <v>0</v>
      </c>
      <c r="F24" s="50" t="s">
        <v>85</v>
      </c>
    </row>
    <row r="25" spans="3:18" ht="18" x14ac:dyDescent="0.25">
      <c r="C25" s="411" t="s">
        <v>88</v>
      </c>
      <c r="D25" s="412"/>
      <c r="E25" s="56">
        <f>E24+E23</f>
        <v>0</v>
      </c>
      <c r="F25" s="50" t="s">
        <v>87</v>
      </c>
      <c r="N25" s="265" t="s">
        <v>306</v>
      </c>
      <c r="O25" s="266"/>
      <c r="P25" s="267" t="s">
        <v>367</v>
      </c>
      <c r="Q25" s="267" t="s">
        <v>357</v>
      </c>
      <c r="R25" s="267" t="s">
        <v>358</v>
      </c>
    </row>
    <row r="26" spans="3:18" x14ac:dyDescent="0.2">
      <c r="N26" s="268" t="s">
        <v>376</v>
      </c>
      <c r="O26" s="262" t="s">
        <v>5</v>
      </c>
      <c r="P26" s="263" t="e">
        <f>+'Producción panela'!J101+'Producción panela'!J113+'Producción panela'!J82-P22+Cosecha!H54</f>
        <v>#DIV/0!</v>
      </c>
      <c r="Q26" s="263" t="e">
        <f>+P26*P42/P44</f>
        <v>#DIV/0!</v>
      </c>
      <c r="R26" s="263" t="e">
        <f>+P26*P43/P44</f>
        <v>#DIV/0!</v>
      </c>
    </row>
    <row r="27" spans="3:18" x14ac:dyDescent="0.2">
      <c r="C27" s="404" t="s">
        <v>372</v>
      </c>
      <c r="D27" s="405"/>
      <c r="E27" s="49">
        <f>+E25/(1-H29)</f>
        <v>0</v>
      </c>
      <c r="H27" s="408" t="s">
        <v>370</v>
      </c>
      <c r="P27" s="264" t="e">
        <f>+P26+P23+P16+P10</f>
        <v>#DIV/0!</v>
      </c>
      <c r="Q27" s="264" t="e">
        <f t="shared" ref="Q27" si="2">+Q26+Q23+Q16+Q10</f>
        <v>#DIV/0!</v>
      </c>
      <c r="R27" s="264" t="e">
        <f>+R26+R23+R16+R10</f>
        <v>#DIV/0!</v>
      </c>
    </row>
    <row r="28" spans="3:18" x14ac:dyDescent="0.2">
      <c r="C28" s="406" t="s">
        <v>371</v>
      </c>
      <c r="D28" s="407"/>
      <c r="E28" s="52">
        <f>+E27-E25</f>
        <v>0</v>
      </c>
      <c r="H28" s="408"/>
      <c r="M28" s="420" t="s">
        <v>364</v>
      </c>
      <c r="N28" s="421"/>
      <c r="O28" s="421"/>
      <c r="P28" s="421"/>
      <c r="Q28" s="422"/>
    </row>
    <row r="29" spans="3:18" x14ac:dyDescent="0.2">
      <c r="H29" s="227"/>
      <c r="M29" s="279" t="s">
        <v>377</v>
      </c>
      <c r="N29" s="280" t="s">
        <v>353</v>
      </c>
      <c r="O29" s="280" t="s">
        <v>369</v>
      </c>
      <c r="P29" s="280" t="s">
        <v>368</v>
      </c>
      <c r="Q29" s="280" t="s">
        <v>5</v>
      </c>
    </row>
    <row r="30" spans="3:18" x14ac:dyDescent="0.2">
      <c r="M30" s="409" t="s">
        <v>357</v>
      </c>
      <c r="N30" s="273" t="s">
        <v>362</v>
      </c>
      <c r="O30" s="276" t="e">
        <f>+Q6+Q8+Q12+Q14+Q19+Q21</f>
        <v>#DIV/0!</v>
      </c>
      <c r="P30" s="276" t="e">
        <f>+(Q9+Q15+Q22+Q26)+O31</f>
        <v>#DIV/0!</v>
      </c>
      <c r="Q30" s="276" t="e">
        <f>+O30+P30-O31</f>
        <v>#DIV/0!</v>
      </c>
    </row>
    <row r="31" spans="3:18" x14ac:dyDescent="0.2">
      <c r="E31" s="231"/>
      <c r="M31" s="410"/>
      <c r="N31" s="274" t="s">
        <v>365</v>
      </c>
      <c r="O31" s="277">
        <f>+'Costos siembra nueva'!E14*G12*1000</f>
        <v>0</v>
      </c>
      <c r="P31" s="277" t="e">
        <f>+E27*P42</f>
        <v>#DIV/0!</v>
      </c>
      <c r="Q31" s="277" t="e">
        <f>+P42*E27</f>
        <v>#DIV/0!</v>
      </c>
    </row>
    <row r="32" spans="3:18" x14ac:dyDescent="0.2">
      <c r="M32" s="410"/>
      <c r="N32" s="275" t="s">
        <v>366</v>
      </c>
      <c r="O32" s="223" t="e">
        <f>+O31-O30</f>
        <v>#DIV/0!</v>
      </c>
      <c r="P32" s="223" t="e">
        <f>+P31-P30</f>
        <v>#DIV/0!</v>
      </c>
      <c r="Q32" s="223" t="e">
        <f>+Q31-Q30</f>
        <v>#DIV/0!</v>
      </c>
      <c r="R32" s="55"/>
    </row>
    <row r="33" spans="13:19" x14ac:dyDescent="0.2">
      <c r="M33" s="409" t="s">
        <v>358</v>
      </c>
      <c r="N33" s="273" t="s">
        <v>362</v>
      </c>
      <c r="O33" s="276" t="e">
        <f>+R7+R8+R13+R14+R20+R21</f>
        <v>#DIV/0!</v>
      </c>
      <c r="P33" s="276" t="e">
        <f>+(R9+R15+R22+R26)+O34</f>
        <v>#DIV/0!</v>
      </c>
      <c r="Q33" s="276" t="e">
        <f>+O33+P33-O34</f>
        <v>#DIV/0!</v>
      </c>
      <c r="R33" s="55"/>
    </row>
    <row r="34" spans="13:19" x14ac:dyDescent="0.2">
      <c r="M34" s="410"/>
      <c r="N34" s="274" t="s">
        <v>365</v>
      </c>
      <c r="O34" s="278">
        <f>+G12*'Mantenimiento de cultivo'!E14*1000</f>
        <v>0</v>
      </c>
      <c r="P34" s="278" t="e">
        <f>+P43*E27</f>
        <v>#DIV/0!</v>
      </c>
      <c r="Q34" s="278" t="e">
        <f>+P43*E27</f>
        <v>#DIV/0!</v>
      </c>
      <c r="R34" s="55"/>
    </row>
    <row r="35" spans="13:19" x14ac:dyDescent="0.2">
      <c r="M35" s="410"/>
      <c r="N35" s="275" t="s">
        <v>366</v>
      </c>
      <c r="O35" s="223" t="e">
        <f>+O34-O33</f>
        <v>#DIV/0!</v>
      </c>
      <c r="P35" s="223" t="e">
        <f>+P34-P33</f>
        <v>#DIV/0!</v>
      </c>
      <c r="Q35" s="223" t="e">
        <f>+Q34-Q33</f>
        <v>#DIV/0!</v>
      </c>
      <c r="R35" s="55"/>
    </row>
    <row r="36" spans="13:19" x14ac:dyDescent="0.2">
      <c r="M36" s="409" t="s">
        <v>367</v>
      </c>
      <c r="N36" s="273" t="s">
        <v>362</v>
      </c>
      <c r="O36" s="276" t="e">
        <f>+'Mantenimiento de cultivo'!H80*Cosecha!F12/'Mantenimiento de cultivo'!E14+'Costos siembra nueva'!H78+Cosecha!H60</f>
        <v>#DIV/0!</v>
      </c>
      <c r="P36" s="276" t="e">
        <f>+E23*'Producción panela'!J15+O37</f>
        <v>#DIV/0!</v>
      </c>
      <c r="Q36" s="276" t="e">
        <f>+O36+E23*'Producción panela'!J15</f>
        <v>#DIV/0!</v>
      </c>
      <c r="S36" s="55"/>
    </row>
    <row r="37" spans="13:19" x14ac:dyDescent="0.2">
      <c r="M37" s="410"/>
      <c r="N37" s="274" t="s">
        <v>365</v>
      </c>
      <c r="O37" s="278">
        <f>+G12*Cosecha!F12*1000</f>
        <v>0</v>
      </c>
      <c r="P37" s="278" t="e">
        <f>+E27*'Producción panela'!J15</f>
        <v>#DIV/0!</v>
      </c>
      <c r="Q37" s="278" t="e">
        <f>+E27*'Producción panela'!J15</f>
        <v>#DIV/0!</v>
      </c>
    </row>
    <row r="38" spans="13:19" x14ac:dyDescent="0.2">
      <c r="M38" s="410"/>
      <c r="N38" s="275" t="s">
        <v>366</v>
      </c>
      <c r="O38" s="223" t="e">
        <f>+O37-O36</f>
        <v>#DIV/0!</v>
      </c>
      <c r="P38" s="223" t="e">
        <f>+P37-P36</f>
        <v>#DIV/0!</v>
      </c>
      <c r="Q38" s="223" t="e">
        <f>+Q37-Q36</f>
        <v>#DIV/0!</v>
      </c>
    </row>
    <row r="40" spans="13:19" x14ac:dyDescent="0.2">
      <c r="N40" s="419" t="s">
        <v>353</v>
      </c>
      <c r="O40" s="419" t="s">
        <v>4</v>
      </c>
      <c r="P40" s="419"/>
    </row>
    <row r="41" spans="13:19" x14ac:dyDescent="0.2">
      <c r="N41" s="419"/>
      <c r="O41" s="271" t="s">
        <v>373</v>
      </c>
      <c r="P41" s="271" t="s">
        <v>374</v>
      </c>
      <c r="R41" s="55"/>
    </row>
    <row r="42" spans="13:19" x14ac:dyDescent="0.2">
      <c r="N42" s="270" t="s">
        <v>357</v>
      </c>
      <c r="O42" s="240">
        <f>+'Costos siembra nueva'!E14</f>
        <v>0</v>
      </c>
      <c r="P42" s="272" t="e">
        <f>+IF('Producción panela'!J7="Calculado",O42/'Resumen costos'!D21*1000,O42/10*1000)</f>
        <v>#DIV/0!</v>
      </c>
      <c r="R42" s="55"/>
    </row>
    <row r="43" spans="13:19" x14ac:dyDescent="0.2">
      <c r="N43" s="270" t="s">
        <v>358</v>
      </c>
      <c r="O43" s="239">
        <f>+'Mantenimiento de cultivo'!E14</f>
        <v>0</v>
      </c>
      <c r="P43" s="272" t="e">
        <f>+IF('Producción panela'!J7="Calculado",O43/'Resumen costos'!D21*1000,O43/10*1000)</f>
        <v>#DIV/0!</v>
      </c>
      <c r="R43" s="55"/>
    </row>
    <row r="44" spans="13:19" x14ac:dyDescent="0.2">
      <c r="N44" s="270" t="s">
        <v>367</v>
      </c>
      <c r="O44" s="239">
        <f>+Cosecha!F12</f>
        <v>0</v>
      </c>
      <c r="P44" s="272" t="e">
        <f>+O44/D21*1000</f>
        <v>#DIV/0!</v>
      </c>
      <c r="Q44" s="230"/>
      <c r="R44" s="230"/>
    </row>
    <row r="47" spans="13:19" x14ac:dyDescent="0.2">
      <c r="R47" s="55"/>
    </row>
    <row r="48" spans="13:19" x14ac:dyDescent="0.2">
      <c r="R48" s="55"/>
    </row>
    <row r="51" spans="16:23" x14ac:dyDescent="0.2">
      <c r="P51" s="395"/>
      <c r="Q51" s="374"/>
      <c r="R51" s="395"/>
      <c r="S51" s="374"/>
      <c r="T51" s="395"/>
      <c r="U51" s="374"/>
      <c r="V51" s="395"/>
      <c r="W51" s="374"/>
    </row>
  </sheetData>
  <mergeCells count="43">
    <mergeCell ref="C24:D24"/>
    <mergeCell ref="O40:P40"/>
    <mergeCell ref="N40:N41"/>
    <mergeCell ref="M36:M38"/>
    <mergeCell ref="M33:M35"/>
    <mergeCell ref="M28:Q28"/>
    <mergeCell ref="C19:C20"/>
    <mergeCell ref="D19:D20"/>
    <mergeCell ref="E19:E20"/>
    <mergeCell ref="F19:F20"/>
    <mergeCell ref="C23:D23"/>
    <mergeCell ref="C2:E2"/>
    <mergeCell ref="C18:H18"/>
    <mergeCell ref="C14:D14"/>
    <mergeCell ref="C16:D16"/>
    <mergeCell ref="C9:H9"/>
    <mergeCell ref="C10:C11"/>
    <mergeCell ref="D10:D11"/>
    <mergeCell ref="E10:E11"/>
    <mergeCell ref="F10:F11"/>
    <mergeCell ref="C3:D3"/>
    <mergeCell ref="C4:D4"/>
    <mergeCell ref="C5:D5"/>
    <mergeCell ref="C6:D6"/>
    <mergeCell ref="G10:G11"/>
    <mergeCell ref="H10:H11"/>
    <mergeCell ref="C15:D15"/>
    <mergeCell ref="T51:U51"/>
    <mergeCell ref="V51:W51"/>
    <mergeCell ref="C7:D7"/>
    <mergeCell ref="P4:R4"/>
    <mergeCell ref="N3:R3"/>
    <mergeCell ref="P51:Q51"/>
    <mergeCell ref="R51:S51"/>
    <mergeCell ref="G19:G20"/>
    <mergeCell ref="H19:H20"/>
    <mergeCell ref="G3:I3"/>
    <mergeCell ref="C27:D27"/>
    <mergeCell ref="C28:D28"/>
    <mergeCell ref="H27:H28"/>
    <mergeCell ref="M30:M32"/>
    <mergeCell ref="J10:J11"/>
    <mergeCell ref="C25:D25"/>
  </mergeCells>
  <conditionalFormatting sqref="O32:Q32 O38:Q38 O35:Q35">
    <cfRule type="cellIs" dxfId="1" priority="13" operator="greaterThan">
      <formula>168935</formula>
    </cfRule>
    <cfRule type="cellIs" dxfId="0" priority="14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portrait" r:id="rId1"/>
  <headerFooter>
    <oddFooter>&amp;CFederación Nacional de productores de panela - Fedepanela
Programa Comercial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Costos siembra nueva</vt:lpstr>
      <vt:lpstr>Mantenimiento de cultivo</vt:lpstr>
      <vt:lpstr>Cosecha</vt:lpstr>
      <vt:lpstr>Producción mieles</vt:lpstr>
      <vt:lpstr>Producción panela</vt:lpstr>
      <vt:lpstr>Resumen costos</vt:lpstr>
      <vt:lpstr>Cosecha!Área_de_impresión</vt:lpstr>
      <vt:lpstr>'Costos siembra nueva'!Área_de_impresión</vt:lpstr>
      <vt:lpstr>'Mantenimiento de cultivo'!Área_de_impresión</vt:lpstr>
      <vt:lpstr>'Producción mieles'!Área_de_impresión</vt:lpstr>
      <vt:lpstr>'Producción panela'!Área_de_impresión</vt:lpstr>
      <vt:lpstr>'Resumen costos'!Área_de_impresión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Oscar Martinez</cp:lastModifiedBy>
  <cp:lastPrinted>2020-05-29T00:31:14Z</cp:lastPrinted>
  <dcterms:created xsi:type="dcterms:W3CDTF">2019-11-14T22:10:30Z</dcterms:created>
  <dcterms:modified xsi:type="dcterms:W3CDTF">2023-04-11T16:54:26Z</dcterms:modified>
</cp:coreProperties>
</file>