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Quasat Solar\Desktop\ProjetoExtratorSolar\templates\"/>
    </mc:Choice>
  </mc:AlternateContent>
  <xr:revisionPtr revIDLastSave="0" documentId="13_ncr:1_{CA0E3547-75A5-4D53-B28F-37CA204432C9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DADOS" sheetId="1" r:id="rId1"/>
    <sheet name="Planilha1" sheetId="2" r:id="rId2"/>
    <sheet name="Planilha2" sheetId="3" r:id="rId3"/>
  </sheets>
  <definedNames>
    <definedName name="_xlnm.Print_Area" localSheetId="1">Planilha1!$I$24:$J$39</definedName>
  </definedNames>
  <calcPr calcId="191029" iterateDelta="1E-4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L2" i="3" l="1"/>
  <c r="CI2" i="3"/>
  <c r="CH2" i="3"/>
  <c r="CE2" i="3"/>
  <c r="CD2" i="3"/>
  <c r="CC2" i="3"/>
  <c r="CB2" i="3"/>
  <c r="CA2" i="3"/>
  <c r="BP2" i="3"/>
  <c r="BO2" i="3"/>
  <c r="BN2" i="3"/>
  <c r="BM2" i="3"/>
  <c r="BL2" i="3"/>
  <c r="BK2" i="3"/>
  <c r="BF2" i="3"/>
  <c r="BE2" i="3"/>
  <c r="BC2" i="3"/>
  <c r="AX2" i="3"/>
  <c r="AW2" i="3"/>
  <c r="AU2" i="3"/>
  <c r="AT2" i="3"/>
  <c r="AS2" i="3"/>
  <c r="AR2" i="3"/>
  <c r="AQ2" i="3"/>
  <c r="AP2" i="3"/>
  <c r="AO2" i="3"/>
  <c r="AN2" i="3"/>
  <c r="AM2" i="3"/>
  <c r="AL2" i="3"/>
  <c r="AK2" i="3"/>
  <c r="AJ2" i="3"/>
  <c r="AC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K99" i="2"/>
  <c r="I99" i="2"/>
  <c r="F99" i="2"/>
  <c r="I98" i="2"/>
  <c r="F98" i="2"/>
  <c r="I97" i="2"/>
  <c r="F97" i="2"/>
  <c r="I96" i="2"/>
  <c r="F96" i="2"/>
  <c r="K95" i="2"/>
  <c r="I95" i="2"/>
  <c r="F95" i="2"/>
  <c r="I94" i="2"/>
  <c r="F94" i="2"/>
  <c r="I93" i="2"/>
  <c r="F93" i="2"/>
  <c r="K92" i="2"/>
  <c r="L92" i="2" s="1"/>
  <c r="Q92" i="2" s="1"/>
  <c r="I92" i="2"/>
  <c r="F92" i="2"/>
  <c r="I91" i="2"/>
  <c r="F91" i="2"/>
  <c r="I90" i="2"/>
  <c r="F90" i="2"/>
  <c r="I89" i="2"/>
  <c r="F89" i="2"/>
  <c r="K88" i="2"/>
  <c r="I88" i="2"/>
  <c r="F88" i="2"/>
  <c r="I87" i="2"/>
  <c r="F87" i="2"/>
  <c r="I86" i="2"/>
  <c r="F86" i="2"/>
  <c r="I85" i="2"/>
  <c r="F85" i="2"/>
  <c r="I84" i="2"/>
  <c r="F84" i="2"/>
  <c r="K83" i="2"/>
  <c r="L83" i="2" s="1"/>
  <c r="I83" i="2"/>
  <c r="F83" i="2"/>
  <c r="I82" i="2"/>
  <c r="F82" i="2"/>
  <c r="I81" i="2"/>
  <c r="F81" i="2"/>
  <c r="I80" i="2"/>
  <c r="F80" i="2"/>
  <c r="K79" i="2"/>
  <c r="L79" i="2" s="1"/>
  <c r="I79" i="2"/>
  <c r="F79" i="2"/>
  <c r="I78" i="2"/>
  <c r="F78" i="2"/>
  <c r="K77" i="2"/>
  <c r="I77" i="2"/>
  <c r="F77" i="2"/>
  <c r="I76" i="2"/>
  <c r="F76" i="2"/>
  <c r="I75" i="2"/>
  <c r="F75" i="2"/>
  <c r="I74" i="2"/>
  <c r="F74" i="2"/>
  <c r="I73" i="2"/>
  <c r="F73" i="2"/>
  <c r="I72" i="2"/>
  <c r="F72" i="2"/>
  <c r="I71" i="2"/>
  <c r="F71" i="2"/>
  <c r="I70" i="2"/>
  <c r="F70" i="2"/>
  <c r="I69" i="2"/>
  <c r="F69" i="2"/>
  <c r="I68" i="2"/>
  <c r="F68" i="2"/>
  <c r="I67" i="2"/>
  <c r="F67" i="2"/>
  <c r="I66" i="2"/>
  <c r="F66" i="2"/>
  <c r="I65" i="2"/>
  <c r="F65" i="2"/>
  <c r="I64" i="2"/>
  <c r="F64" i="2"/>
  <c r="I63" i="2"/>
  <c r="F63" i="2"/>
  <c r="I62" i="2"/>
  <c r="F62" i="2"/>
  <c r="K61" i="2"/>
  <c r="I61" i="2"/>
  <c r="F61" i="2"/>
  <c r="I60" i="2"/>
  <c r="F60" i="2"/>
  <c r="I59" i="2"/>
  <c r="F59" i="2"/>
  <c r="I58" i="2"/>
  <c r="F58" i="2"/>
  <c r="I57" i="2"/>
  <c r="F57" i="2"/>
  <c r="I56" i="2"/>
  <c r="F56" i="2"/>
  <c r="I55" i="2"/>
  <c r="F55" i="2"/>
  <c r="I54" i="2"/>
  <c r="F54" i="2"/>
  <c r="I53" i="2"/>
  <c r="F53" i="2"/>
  <c r="I52" i="2"/>
  <c r="F52" i="2"/>
  <c r="I51" i="2"/>
  <c r="F51" i="2"/>
  <c r="I50" i="2"/>
  <c r="F50" i="2"/>
  <c r="U49" i="2"/>
  <c r="I49" i="2"/>
  <c r="F49" i="2"/>
  <c r="U48" i="2"/>
  <c r="I48" i="2"/>
  <c r="F48" i="2"/>
  <c r="K47" i="2"/>
  <c r="I47" i="2"/>
  <c r="F47" i="2"/>
  <c r="I46" i="2"/>
  <c r="F46" i="2"/>
  <c r="I45" i="2"/>
  <c r="F45" i="2"/>
  <c r="I44" i="2"/>
  <c r="F44" i="2"/>
  <c r="I43" i="2"/>
  <c r="F43" i="2"/>
  <c r="J39" i="2"/>
  <c r="I39" i="2"/>
  <c r="F39" i="2"/>
  <c r="I36" i="2"/>
  <c r="F36" i="2"/>
  <c r="J35" i="2"/>
  <c r="I35" i="2"/>
  <c r="F35" i="2"/>
  <c r="J34" i="2"/>
  <c r="I34" i="2"/>
  <c r="F34" i="2"/>
  <c r="J33" i="2"/>
  <c r="I33" i="2"/>
  <c r="F33" i="2"/>
  <c r="J32" i="2"/>
  <c r="I32" i="2"/>
  <c r="F32" i="2"/>
  <c r="J31" i="2"/>
  <c r="I31" i="2"/>
  <c r="F31" i="2"/>
  <c r="J30" i="2"/>
  <c r="I30" i="2"/>
  <c r="F30" i="2"/>
  <c r="J29" i="2"/>
  <c r="I29" i="2"/>
  <c r="F29" i="2"/>
  <c r="J28" i="2"/>
  <c r="I28" i="2"/>
  <c r="F28" i="2"/>
  <c r="J27" i="2"/>
  <c r="I27" i="2"/>
  <c r="F27" i="2"/>
  <c r="J26" i="2"/>
  <c r="I26" i="2"/>
  <c r="F26" i="2"/>
  <c r="J25" i="2"/>
  <c r="I25" i="2"/>
  <c r="F25" i="2"/>
  <c r="J24" i="2"/>
  <c r="I24" i="2"/>
  <c r="F24" i="2"/>
  <c r="A50" i="1"/>
  <c r="CG2" i="3" s="1"/>
  <c r="G48" i="1"/>
  <c r="F48" i="1"/>
  <c r="D48" i="1"/>
  <c r="C48" i="1"/>
  <c r="B48" i="1"/>
  <c r="A48" i="1"/>
  <c r="A32" i="1"/>
  <c r="A31" i="1"/>
  <c r="E29" i="1"/>
  <c r="F29" i="1" s="1"/>
  <c r="E27" i="1"/>
  <c r="B39" i="1" s="1"/>
  <c r="B12" i="1"/>
  <c r="AI2" i="3" s="1"/>
  <c r="AG2" i="3" s="1"/>
  <c r="B11" i="1"/>
  <c r="AH2" i="3" s="1"/>
  <c r="AF2" i="3" s="1"/>
  <c r="C8" i="1"/>
  <c r="W2" i="3" s="1"/>
  <c r="B8" i="1"/>
  <c r="V2" i="3" s="1"/>
  <c r="M2" i="1"/>
  <c r="A2" i="1"/>
  <c r="H18" i="1" s="1"/>
  <c r="B2" i="3" s="1"/>
  <c r="C2" i="3" s="1"/>
  <c r="B29" i="1" l="1"/>
  <c r="G44" i="1" s="1"/>
  <c r="BY2" i="3" s="1"/>
  <c r="B27" i="1"/>
  <c r="H27" i="1" s="1"/>
  <c r="BA2" i="3" s="1"/>
  <c r="B40" i="1"/>
  <c r="BR2" i="3" s="1"/>
  <c r="BQ2" i="3"/>
  <c r="R79" i="2"/>
  <c r="Q79" i="2"/>
  <c r="BG2" i="3"/>
  <c r="B52" i="1"/>
  <c r="A2" i="3"/>
  <c r="D8" i="1"/>
  <c r="X2" i="3" s="1"/>
  <c r="E11" i="1"/>
  <c r="AD2" i="3" s="1"/>
  <c r="F27" i="1"/>
  <c r="AY2" i="3" s="1"/>
  <c r="E8" i="1"/>
  <c r="Y2" i="3" s="1"/>
  <c r="F11" i="1"/>
  <c r="AE2" i="3" s="1"/>
  <c r="F8" i="1"/>
  <c r="Z2" i="3" s="1"/>
  <c r="G8" i="1"/>
  <c r="AA2" i="3" s="1"/>
  <c r="H8" i="1"/>
  <c r="AB2" i="3" s="1"/>
  <c r="H44" i="1" l="1"/>
  <c r="BZ2" i="3" s="1"/>
  <c r="BD2" i="3"/>
  <c r="H29" i="1"/>
  <c r="BI2" i="3" s="1"/>
  <c r="B44" i="1"/>
  <c r="BT2" i="3" s="1"/>
  <c r="D44" i="1"/>
  <c r="BV2" i="3" s="1"/>
  <c r="A44" i="1"/>
  <c r="BS2" i="3" s="1"/>
  <c r="F44" i="1"/>
  <c r="BX2" i="3" s="1"/>
  <c r="C44" i="1"/>
  <c r="BU2" i="3" s="1"/>
  <c r="I29" i="1"/>
  <c r="BJ2" i="3" s="1"/>
  <c r="CF2" i="3"/>
  <c r="E44" i="1"/>
  <c r="BW2" i="3" s="1"/>
  <c r="I27" i="1"/>
  <c r="BB2" i="3" s="1"/>
  <c r="B31" i="1"/>
  <c r="G27" i="1" s="1"/>
  <c r="AZ2" i="3" s="1"/>
  <c r="AV2" i="3"/>
  <c r="G29" i="1"/>
  <c r="BH2" i="3" s="1"/>
  <c r="CK2" i="3"/>
  <c r="A52" i="1"/>
  <c r="CJ2" i="3" s="1"/>
</calcChain>
</file>

<file path=xl/sharedStrings.xml><?xml version="1.0" encoding="utf-8"?>
<sst xmlns="http://schemas.openxmlformats.org/spreadsheetml/2006/main" count="1224" uniqueCount="418">
  <si>
    <t>DATA</t>
  </si>
  <si>
    <t>NOME/RAZÃO SOCIAL</t>
  </si>
  <si>
    <t>ENDEREÇO</t>
  </si>
  <si>
    <t>N°</t>
  </si>
  <si>
    <t>BAIRRO</t>
  </si>
  <si>
    <t>E-MAIL</t>
  </si>
  <si>
    <t>TELEFONE</t>
  </si>
  <si>
    <t>CNPJ/CPF</t>
  </si>
  <si>
    <t>CIDADE</t>
  </si>
  <si>
    <t>CEP</t>
  </si>
  <si>
    <t>750V (PVC)</t>
  </si>
  <si>
    <t>ENDEREÇO COMPLETO</t>
  </si>
  <si>
    <t>Adriane Rubert</t>
  </si>
  <si>
    <t>Avenida Expedicionário Weber</t>
  </si>
  <si>
    <t>Centro</t>
  </si>
  <si>
    <t>rubertadriane@gmail.com</t>
  </si>
  <si>
    <t>(55) 984398518</t>
  </si>
  <si>
    <t>591.875.730-91</t>
  </si>
  <si>
    <t>Santa Rosa</t>
  </si>
  <si>
    <t>1KV (HEPR)</t>
  </si>
  <si>
    <t>Rio Grande do Sul</t>
  </si>
  <si>
    <t>UC</t>
  </si>
  <si>
    <t>GRUPO</t>
  </si>
  <si>
    <t>CLASSE</t>
  </si>
  <si>
    <t>TENSÃO</t>
  </si>
  <si>
    <t>CARGA INSTALADA</t>
  </si>
  <si>
    <t>TIPO DE ATENDIMENTO</t>
  </si>
  <si>
    <t>B3</t>
  </si>
  <si>
    <t>Comercial</t>
  </si>
  <si>
    <t>380/220V</t>
  </si>
  <si>
    <t>RIC BT - A2</t>
  </si>
  <si>
    <t>Aéreo</t>
  </si>
  <si>
    <t>TIPO DE CAIXA</t>
  </si>
  <si>
    <t>N° DE FASES</t>
  </si>
  <si>
    <t>DISJUNTOR</t>
  </si>
  <si>
    <t>RAMAL DE ENTRADA</t>
  </si>
  <si>
    <t>RAMAL</t>
  </si>
  <si>
    <t>RAMAL DE LIGAÇÃO</t>
  </si>
  <si>
    <t>ATERRAMENTO</t>
  </si>
  <si>
    <t>PROTEÇÃO</t>
  </si>
  <si>
    <t>ISOLAÇÃO</t>
  </si>
  <si>
    <t>CLI</t>
  </si>
  <si>
    <t>DECIMAL</t>
  </si>
  <si>
    <t>REPRESENTANTE LEGAL (CNPJ)</t>
  </si>
  <si>
    <t>DISJUNTOR SIMPL.</t>
  </si>
  <si>
    <t>POLARIDADE</t>
  </si>
  <si>
    <t>LATITUDE</t>
  </si>
  <si>
    <t>LONGITUDE</t>
  </si>
  <si>
    <t>CPF REPRESENTANTE</t>
  </si>
  <si>
    <t>COMPENSAÇÃO DE CRÉDITOS</t>
  </si>
  <si>
    <t>QUANTIDADES  DE UC'S PARTICIPANTES</t>
  </si>
  <si>
    <t>ART</t>
  </si>
  <si>
    <t>CRÉDITOS EM %</t>
  </si>
  <si>
    <t>ENDEREÇOS</t>
  </si>
  <si>
    <t>Data</t>
  </si>
  <si>
    <t>Número</t>
  </si>
  <si>
    <t>DADOS GERAÇÃO</t>
  </si>
  <si>
    <t>MÓDULOS</t>
  </si>
  <si>
    <t>MODELO</t>
  </si>
  <si>
    <t>FABRICANTE</t>
  </si>
  <si>
    <t>QUANTIDADE PLACAS</t>
  </si>
  <si>
    <t>POTÊNCIA NOMINAL</t>
  </si>
  <si>
    <t>POTÊNCIA PICO</t>
  </si>
  <si>
    <t>ÁREA</t>
  </si>
  <si>
    <t>INMETRO</t>
  </si>
  <si>
    <t>REND.</t>
  </si>
  <si>
    <t>LONGI</t>
  </si>
  <si>
    <t>INVERSOR</t>
  </si>
  <si>
    <t>QUANTIDADE INVERSOR</t>
  </si>
  <si>
    <t>POTÊNCIA TOTAL</t>
  </si>
  <si>
    <t>POTÊNCIA (ANEXO I)</t>
  </si>
  <si>
    <t xml:space="preserve">CORRENTE </t>
  </si>
  <si>
    <t>SOLIS</t>
  </si>
  <si>
    <t>ARRANJOS</t>
  </si>
  <si>
    <t>ARRANJO 1</t>
  </si>
  <si>
    <t>ARRANJO 2</t>
  </si>
  <si>
    <t>ARRANJO 3</t>
  </si>
  <si>
    <t>QUANTIDADE</t>
  </si>
  <si>
    <t>GERAÇÃO</t>
  </si>
  <si>
    <t>MÉDIA</t>
  </si>
  <si>
    <t>MENSAL</t>
  </si>
  <si>
    <t>ANUAL</t>
  </si>
  <si>
    <t>PROTEÇÕES CA</t>
  </si>
  <si>
    <t>TIPO</t>
  </si>
  <si>
    <t>DPS</t>
  </si>
  <si>
    <t>HASTE</t>
  </si>
  <si>
    <t>CABO CA</t>
  </si>
  <si>
    <t>CABO TERRA</t>
  </si>
  <si>
    <t>PROTEÇÕES CC</t>
  </si>
  <si>
    <t>CABO SOLAR</t>
  </si>
  <si>
    <t>CONTATOR</t>
  </si>
  <si>
    <t>CONCESSIONÁRIA</t>
  </si>
  <si>
    <t>Grupo</t>
  </si>
  <si>
    <t>Tensão</t>
  </si>
  <si>
    <t>Categoria</t>
  </si>
  <si>
    <t>Disjuntor</t>
  </si>
  <si>
    <t>Ramal de entrada</t>
  </si>
  <si>
    <t>Ramal</t>
  </si>
  <si>
    <t>Ramal de ligação</t>
  </si>
  <si>
    <t>Atendimento</t>
  </si>
  <si>
    <t>Caixa</t>
  </si>
  <si>
    <t>Nº Fases</t>
  </si>
  <si>
    <t>Aterramento</t>
  </si>
  <si>
    <t>Proteção</t>
  </si>
  <si>
    <t>Polaridade</t>
  </si>
  <si>
    <t>B1</t>
  </si>
  <si>
    <t>220V</t>
  </si>
  <si>
    <t>Residencial</t>
  </si>
  <si>
    <t>1#40</t>
  </si>
  <si>
    <t>10 mm²</t>
  </si>
  <si>
    <t xml:space="preserve">Duplex </t>
  </si>
  <si>
    <t>CLE</t>
  </si>
  <si>
    <t>Monofásico</t>
  </si>
  <si>
    <t>10mm²</t>
  </si>
  <si>
    <t>40A</t>
  </si>
  <si>
    <t>Monopolar</t>
  </si>
  <si>
    <t>B2</t>
  </si>
  <si>
    <t>0,38/0,22</t>
  </si>
  <si>
    <t>Rural</t>
  </si>
  <si>
    <t>GED 13 - A3</t>
  </si>
  <si>
    <t>1#32</t>
  </si>
  <si>
    <t>6mm²</t>
  </si>
  <si>
    <t>Subterrâneo</t>
  </si>
  <si>
    <t>32A</t>
  </si>
  <si>
    <t>440/220V</t>
  </si>
  <si>
    <t>0,44/0,22</t>
  </si>
  <si>
    <t>GED 13 - A4</t>
  </si>
  <si>
    <t>1#63</t>
  </si>
  <si>
    <t>16mm²</t>
  </si>
  <si>
    <t>Policarbonato</t>
  </si>
  <si>
    <t>63A</t>
  </si>
  <si>
    <t>A4</t>
  </si>
  <si>
    <t>23,1KV</t>
  </si>
  <si>
    <t>Industrial</t>
  </si>
  <si>
    <t>RIC BT - B2</t>
  </si>
  <si>
    <t>2#50</t>
  </si>
  <si>
    <t>Triplex</t>
  </si>
  <si>
    <t>Bifásico</t>
  </si>
  <si>
    <t>50A</t>
  </si>
  <si>
    <t>Bipolar</t>
  </si>
  <si>
    <t>GED 13 - B3</t>
  </si>
  <si>
    <t>2#40</t>
  </si>
  <si>
    <t>RIC BT - B4</t>
  </si>
  <si>
    <t>16 mm²</t>
  </si>
  <si>
    <t>RIC BT - B5</t>
  </si>
  <si>
    <t>2#70</t>
  </si>
  <si>
    <t>25 mm²</t>
  </si>
  <si>
    <t>70A</t>
  </si>
  <si>
    <t>GED 13 - C7</t>
  </si>
  <si>
    <t>3#40</t>
  </si>
  <si>
    <t>Quadruplex</t>
  </si>
  <si>
    <t>Trifásico</t>
  </si>
  <si>
    <t>Tripolar</t>
  </si>
  <si>
    <t>GED 13 - C8</t>
  </si>
  <si>
    <t>3#63</t>
  </si>
  <si>
    <t>GED 13 - C9</t>
  </si>
  <si>
    <t>3#80</t>
  </si>
  <si>
    <t>25mm²</t>
  </si>
  <si>
    <t>80A</t>
  </si>
  <si>
    <t>GED 13 - C10</t>
  </si>
  <si>
    <t>3#100</t>
  </si>
  <si>
    <t>35mm²</t>
  </si>
  <si>
    <t>100A</t>
  </si>
  <si>
    <t>GED 13 - C11</t>
  </si>
  <si>
    <t>3#125</t>
  </si>
  <si>
    <t>50mm²</t>
  </si>
  <si>
    <t>125A</t>
  </si>
  <si>
    <t>RIC BT - C13</t>
  </si>
  <si>
    <t>3#30</t>
  </si>
  <si>
    <t>30A</t>
  </si>
  <si>
    <t>RIC BT - C14</t>
  </si>
  <si>
    <t>RIC BT - C15</t>
  </si>
  <si>
    <t>3#50</t>
  </si>
  <si>
    <t>RIC BT - C16</t>
  </si>
  <si>
    <t>3#70</t>
  </si>
  <si>
    <t>RIC BT - C17</t>
  </si>
  <si>
    <t>35 mm²</t>
  </si>
  <si>
    <t>RIC BT - C18</t>
  </si>
  <si>
    <t>50 mm²</t>
  </si>
  <si>
    <t>Potência módulo</t>
  </si>
  <si>
    <t>Modelo</t>
  </si>
  <si>
    <t>Marca</t>
  </si>
  <si>
    <t>Potência + Marca</t>
  </si>
  <si>
    <t>Marca (lista)</t>
  </si>
  <si>
    <t>Área módulo</t>
  </si>
  <si>
    <t>Inmetro</t>
  </si>
  <si>
    <t>Eficiência</t>
  </si>
  <si>
    <t>RSM144-7-450M</t>
  </si>
  <si>
    <t>RISEN SOLAR</t>
  </si>
  <si>
    <t>BYD</t>
  </si>
  <si>
    <t>002533/2017</t>
  </si>
  <si>
    <t>BYD450MGK-36</t>
  </si>
  <si>
    <t>CANADIAN SOLAR</t>
  </si>
  <si>
    <t>006665/2021</t>
  </si>
  <si>
    <t>BYD455MGK-36</t>
  </si>
  <si>
    <t>DAH SOLAR</t>
  </si>
  <si>
    <t>LR5-66HPH-500M</t>
  </si>
  <si>
    <t>JA SOLAR</t>
  </si>
  <si>
    <t>003746/2021</t>
  </si>
  <si>
    <t>TSM-510DE18(II)</t>
  </si>
  <si>
    <t>TRINA SOLAR</t>
  </si>
  <si>
    <t>002235/2021</t>
  </si>
  <si>
    <t>BYD535MLK-36</t>
  </si>
  <si>
    <t>004098/2022</t>
  </si>
  <si>
    <t>BYD540MLK-36</t>
  </si>
  <si>
    <t>JAM72S30-540/MR</t>
  </si>
  <si>
    <t>007008/2020</t>
  </si>
  <si>
    <t>550Wp intelb</t>
  </si>
  <si>
    <t>JAM72S30-545/MR</t>
  </si>
  <si>
    <t xml:space="preserve">575Wp </t>
  </si>
  <si>
    <t>BYD545MLK-36</t>
  </si>
  <si>
    <t>610Wp</t>
  </si>
  <si>
    <t>LR5-72HPH-545M</t>
  </si>
  <si>
    <t>CS6W-545MS</t>
  </si>
  <si>
    <t>000452/2021</t>
  </si>
  <si>
    <t>DHM-72X10-550W</t>
  </si>
  <si>
    <t>008286/2021</t>
  </si>
  <si>
    <t>Potência</t>
  </si>
  <si>
    <t>Ligação</t>
  </si>
  <si>
    <t>Corrente CA</t>
  </si>
  <si>
    <t>TERRA</t>
  </si>
  <si>
    <t>N° FASES INV.</t>
  </si>
  <si>
    <t>INVERSOR 2X</t>
  </si>
  <si>
    <t>QTD2</t>
  </si>
  <si>
    <t>APSYSTEMS</t>
  </si>
  <si>
    <t>5,45</t>
  </si>
  <si>
    <t>10A</t>
  </si>
  <si>
    <t>tripolar</t>
  </si>
  <si>
    <t>400V</t>
  </si>
  <si>
    <t>3</t>
  </si>
  <si>
    <t>4 mm²</t>
  </si>
  <si>
    <t>6 mm²</t>
  </si>
  <si>
    <t>três</t>
  </si>
  <si>
    <t>20A</t>
  </si>
  <si>
    <t>SOFAR 3KTLM-G3</t>
  </si>
  <si>
    <t>SOFAR</t>
  </si>
  <si>
    <t>RENOVIGI</t>
  </si>
  <si>
    <t>15 A</t>
  </si>
  <si>
    <t>16A</t>
  </si>
  <si>
    <t>bipolar</t>
  </si>
  <si>
    <t>2</t>
  </si>
  <si>
    <t>uma</t>
  </si>
  <si>
    <t>25A</t>
  </si>
  <si>
    <t>S6-GR1P3K</t>
  </si>
  <si>
    <t>15,7 A</t>
  </si>
  <si>
    <t>RENO3K-HC</t>
  </si>
  <si>
    <t>SOFAR 4KTLM-G3</t>
  </si>
  <si>
    <t xml:space="preserve">SOFAR </t>
  </si>
  <si>
    <t>20 A</t>
  </si>
  <si>
    <t>S6-GR1P4K</t>
  </si>
  <si>
    <t>21 A</t>
  </si>
  <si>
    <t>RENO4K-HC</t>
  </si>
  <si>
    <t>SOFAR 5KTLM-G3</t>
  </si>
  <si>
    <t>25 A</t>
  </si>
  <si>
    <t>S6-GR1P5K</t>
  </si>
  <si>
    <t>RENO5K-HC</t>
  </si>
  <si>
    <t>GUARÁ 1P5K-2M</t>
  </si>
  <si>
    <t>SOFAR 6KTLM-G3</t>
  </si>
  <si>
    <t>29 A</t>
  </si>
  <si>
    <t>S6-GR1P6K</t>
  </si>
  <si>
    <t>27,3 A</t>
  </si>
  <si>
    <t>BYD-K-1P6K-2M</t>
  </si>
  <si>
    <t>26 A</t>
  </si>
  <si>
    <t>SOFAR 7,5KTLM</t>
  </si>
  <si>
    <t>32,6 A</t>
  </si>
  <si>
    <t>RENO 7,7K</t>
  </si>
  <si>
    <t>35 A</t>
  </si>
  <si>
    <t>SOLIS-1P7.7K-5G</t>
  </si>
  <si>
    <t>SOFAR 9KTLM-G3</t>
  </si>
  <si>
    <t>45 A</t>
  </si>
  <si>
    <t>BYD-K-1P9K-2M</t>
  </si>
  <si>
    <t>39,1 A</t>
  </si>
  <si>
    <t>SOLIS-1P10K-4G</t>
  </si>
  <si>
    <t>45,9 A</t>
  </si>
  <si>
    <t>RENO-10-HC</t>
  </si>
  <si>
    <t>SOFAR 10,5KTLM-G3</t>
  </si>
  <si>
    <t>46 A</t>
  </si>
  <si>
    <t>SOFAR 12KTL-X</t>
  </si>
  <si>
    <t>19,1 A</t>
  </si>
  <si>
    <t>4</t>
  </si>
  <si>
    <t>SOFAR 15KTL-G2</t>
  </si>
  <si>
    <t>24 A</t>
  </si>
  <si>
    <t>S5-GR3P15K</t>
  </si>
  <si>
    <t>23,8 A</t>
  </si>
  <si>
    <t>RENO-15K-HC</t>
  </si>
  <si>
    <t>SOFAR 20KTL-G2</t>
  </si>
  <si>
    <t>32 A</t>
  </si>
  <si>
    <t>S5-GR3P20K</t>
  </si>
  <si>
    <t>31,8 A</t>
  </si>
  <si>
    <t>RENO-20K-HC</t>
  </si>
  <si>
    <t>SOFAR 25KTLX-G3</t>
  </si>
  <si>
    <t>40 A</t>
  </si>
  <si>
    <t>SOFAR 30KTL-G2</t>
  </si>
  <si>
    <t>48 A</t>
  </si>
  <si>
    <t>S5-GC30K</t>
  </si>
  <si>
    <t>50,2 A</t>
  </si>
  <si>
    <t>RENO-30K-NG-HC</t>
  </si>
  <si>
    <t>SOFAR 33KTL-G2</t>
  </si>
  <si>
    <t>53 A</t>
  </si>
  <si>
    <t>BYD-K-3P36K-3M</t>
  </si>
  <si>
    <t>57,7 A</t>
  </si>
  <si>
    <t>S5-GC40K</t>
  </si>
  <si>
    <t>66,9 A</t>
  </si>
  <si>
    <t>550V</t>
  </si>
  <si>
    <t>RENO-40K-NG-HC</t>
  </si>
  <si>
    <t>SOFAR 50KTL</t>
  </si>
  <si>
    <t>80 A</t>
  </si>
  <si>
    <t>SOLIS-50K</t>
  </si>
  <si>
    <t>83,3 A</t>
  </si>
  <si>
    <t>RENO 50K</t>
  </si>
  <si>
    <t>SOLIS-60K-4G</t>
  </si>
  <si>
    <t>100 A</t>
  </si>
  <si>
    <t>RENO 60K</t>
  </si>
  <si>
    <t>SOFAR 75KTL</t>
  </si>
  <si>
    <t>113 A</t>
  </si>
  <si>
    <t>SOLIS-75K-5G</t>
  </si>
  <si>
    <t>114 A</t>
  </si>
  <si>
    <t>RENO-75K-NG</t>
  </si>
  <si>
    <t>BYD-K-1P3K-2M</t>
  </si>
  <si>
    <t>14,3 A</t>
  </si>
  <si>
    <t>GUARÁ NANO-3K</t>
  </si>
  <si>
    <t>BYD-S-1P3K-1M</t>
  </si>
  <si>
    <t>BYD-K-1P8K-2M</t>
  </si>
  <si>
    <t>38,3 A</t>
  </si>
  <si>
    <t>GUARÁ 1P8K-3M</t>
  </si>
  <si>
    <t>BYD-S-1P8K-3M</t>
  </si>
  <si>
    <t>36,6 A</t>
  </si>
  <si>
    <t>BYD-S-1P10K-3M</t>
  </si>
  <si>
    <t>GUARÁ 1P10K-3M</t>
  </si>
  <si>
    <t>BYD-S-3P12K-2M</t>
  </si>
  <si>
    <t>BYD-K-3P12K-2M</t>
  </si>
  <si>
    <t>BYD-K-3P15K-2M</t>
  </si>
  <si>
    <t>BYD-S-3P15K-2M</t>
  </si>
  <si>
    <t>BYD-S-3P20K-2M</t>
  </si>
  <si>
    <t>BYD-K-3P20K-2M</t>
  </si>
  <si>
    <t>31,9 A</t>
  </si>
  <si>
    <t>BYD-K-3P25K-2M</t>
  </si>
  <si>
    <t>36,7 A</t>
  </si>
  <si>
    <t>BYD-S-3P25K-3M</t>
  </si>
  <si>
    <t>41,8 A</t>
  </si>
  <si>
    <t>BYD-S-3P30K-3M</t>
  </si>
  <si>
    <t>BYD-K-3P30K-3M</t>
  </si>
  <si>
    <t>47,6 A</t>
  </si>
  <si>
    <t>BYD-S-3P40K-4M</t>
  </si>
  <si>
    <t>BYD-K-3P40K-3M</t>
  </si>
  <si>
    <t>63,5 A</t>
  </si>
  <si>
    <t>BYD-K-3P50K-4M</t>
  </si>
  <si>
    <t>79,4 A</t>
  </si>
  <si>
    <t>BYD-S-3P50K-5M</t>
  </si>
  <si>
    <t>83,6 A</t>
  </si>
  <si>
    <t>BYD-S-3P60K-6M</t>
  </si>
  <si>
    <t>100,3 A</t>
  </si>
  <si>
    <t>BYD-K-3P60K-4M</t>
  </si>
  <si>
    <t>95,3 A</t>
  </si>
  <si>
    <t>BYD-K-3P75K-9M</t>
  </si>
  <si>
    <t>108,23 A</t>
  </si>
  <si>
    <t>BYD-S-3P75K-9M</t>
  </si>
  <si>
    <t>DATA IMPLANTAÇÃO</t>
  </si>
  <si>
    <t>DATA LIGAÇÃO</t>
  </si>
  <si>
    <t>TITULAR</t>
  </si>
  <si>
    <t xml:space="preserve">N° </t>
  </si>
  <si>
    <t>CPF/CNPJ</t>
  </si>
  <si>
    <t xml:space="preserve">TENSÃO </t>
  </si>
  <si>
    <t>TENSÃO ANEXO III</t>
  </si>
  <si>
    <t>CATEGORIA</t>
  </si>
  <si>
    <t>DISJUNTOR ANEXOIII</t>
  </si>
  <si>
    <t>CABOS</t>
  </si>
  <si>
    <t>CABOS RAMAL</t>
  </si>
  <si>
    <t xml:space="preserve">ATERRAMENTO </t>
  </si>
  <si>
    <t>DISJUNTOR MEMORIAL</t>
  </si>
  <si>
    <t>LATITUDE GMS</t>
  </si>
  <si>
    <t>LONGITUDE GMS</t>
  </si>
  <si>
    <t>UC 1</t>
  </si>
  <si>
    <t>CRÉDITOS EM % 1</t>
  </si>
  <si>
    <t>UC 2</t>
  </si>
  <si>
    <t>CRÉDITOS EM % 2</t>
  </si>
  <si>
    <t>UC 3</t>
  </si>
  <si>
    <t>CRÉDITOS EM % 3</t>
  </si>
  <si>
    <t>UC 4</t>
  </si>
  <si>
    <t>CRÉDITOS EM % 4</t>
  </si>
  <si>
    <t>UC 5</t>
  </si>
  <si>
    <t>CRÉDITOS EM % 5</t>
  </si>
  <si>
    <t>POTÊNCIA MÓDULOS</t>
  </si>
  <si>
    <t>MODELO MÓDULOS</t>
  </si>
  <si>
    <t>FABRICANTE MÓDULOS</t>
  </si>
  <si>
    <t>QUANTIDADE MÓDULOS</t>
  </si>
  <si>
    <t>INMETRO_MÓD.</t>
  </si>
  <si>
    <t>REND. MÓDULOS</t>
  </si>
  <si>
    <t>POTÊNCIA INVERSOR</t>
  </si>
  <si>
    <t>MODELO INVERSOR</t>
  </si>
  <si>
    <t>FABRICANTE INVERSOR</t>
  </si>
  <si>
    <t>POTÊNCIA TOTAL INV.</t>
  </si>
  <si>
    <t>TENSÃO INVERSOR</t>
  </si>
  <si>
    <t>CORRENTE INVERSOR</t>
  </si>
  <si>
    <t>ARRANJO 1 QUANT.</t>
  </si>
  <si>
    <t>ARRANJO 1 MÓD.</t>
  </si>
  <si>
    <t>ARRANJO 2 QUANT.</t>
  </si>
  <si>
    <t>ARRANJO 2 MÓD.</t>
  </si>
  <si>
    <t>ARRANJO 3 QUANT.</t>
  </si>
  <si>
    <t>ARRANJO 3 MÓD.</t>
  </si>
  <si>
    <t>GERAÇÃO MENSAL</t>
  </si>
  <si>
    <t>GERAÇÃO ANUAL</t>
  </si>
  <si>
    <t>DISJUNTOR CA</t>
  </si>
  <si>
    <t>TIPO DISJ.</t>
  </si>
  <si>
    <t>TENSÃO DISJ.</t>
  </si>
  <si>
    <t>DPS CA</t>
  </si>
  <si>
    <t>ISOLAÇÃO CABOS CA</t>
  </si>
  <si>
    <t>ENDEREÇO 1</t>
  </si>
  <si>
    <t>ENDEREÇO 2</t>
  </si>
  <si>
    <t>ENDEREÇO 3</t>
  </si>
  <si>
    <t>ENDEREÇO 4</t>
  </si>
  <si>
    <t>ENDEREÇO 5</t>
  </si>
  <si>
    <t>DISJUNTOR CC</t>
  </si>
  <si>
    <t>DISJUNTOR BIF.</t>
  </si>
  <si>
    <t>INMETRO_INV.</t>
  </si>
  <si>
    <t xml:space="preserve">Capacidade Máxima de interrupção </t>
  </si>
  <si>
    <t>Curva de Atuação</t>
  </si>
  <si>
    <t>INMETRO INV.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</si>
</sst>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1" fillId="0" borderId="0"/>
    <xf numFmtId="0" fontId="2" fillId="9" borderId="6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5" borderId="1" xfId="0" applyFill="1" applyBorder="1" applyAlignment="1">
      <alignment horizontal="center"/>
    </xf>
    <xf numFmtId="1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8" borderId="1" xfId="0" applyFill="1" applyBorder="1"/>
    <xf numFmtId="0" fontId="0" fillId="8" borderId="0" xfId="0" applyFill="1"/>
    <xf numFmtId="0" fontId="3" fillId="0" borderId="0" xfId="0" applyFont="1"/>
    <xf numFmtId="0" fontId="4" fillId="0" borderId="0" xfId="0" applyFont="1"/>
    <xf numFmtId="14" fontId="0" fillId="3" borderId="1" xfId="0" applyNumberFormat="1" applyFill="1" applyBorder="1" applyAlignment="1">
      <alignment horizontal="center"/>
    </xf>
    <xf numFmtId="0" fontId="2" fillId="9" borderId="6" xfId="2"/>
    <xf numFmtId="0" fontId="0" fillId="10" borderId="0" xfId="0" applyFill="1"/>
    <xf numFmtId="2" fontId="0" fillId="0" borderId="0" xfId="0" applyNumberFormat="1"/>
    <xf numFmtId="49" fontId="0" fillId="0" borderId="0" xfId="0" applyNumberFormat="1"/>
    <xf numFmtId="1" fontId="0" fillId="3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6" xfId="2" applyAlignment="1">
      <alignment horizontal="center" vertical="center"/>
    </xf>
    <xf numFmtId="0" fontId="2" fillId="9" borderId="6" xfId="2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7" xfId="0" applyBorder="1"/>
    <xf numFmtId="0" fontId="2" fillId="9" borderId="6" xfId="2" applyAlignment="1">
      <alignment horizontal="center" vertical="center"/>
    </xf>
    <xf numFmtId="0" fontId="0" fillId="0" borderId="9" xfId="0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/>
    <xf numFmtId="0" fontId="0" fillId="3" borderId="1" xfId="0" applyFill="1" applyBorder="1" applyAlignment="1">
      <alignment horizontal="center" vertical="center"/>
    </xf>
    <xf numFmtId="0" fontId="0" fillId="0" borderId="11" xfId="0" applyBorder="1"/>
    <xf numFmtId="0" fontId="2" fillId="9" borderId="6" xfId="2" applyAlignment="1">
      <alignment horizontal="center"/>
    </xf>
  </cellXfs>
  <cellStyles count="3">
    <cellStyle name="Célula de Verificação" xfId="2" builtinId="23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M53"/>
  <sheetViews>
    <sheetView tabSelected="1" zoomScale="88" zoomScaleNormal="88" workbookViewId="0">
      <selection activeCell="E14" sqref="E14"/>
    </sheetView>
  </sheetViews>
  <sheetFormatPr defaultRowHeight="15" x14ac:dyDescent="0.25"/>
  <cols>
    <col min="1" max="1" width="14.42578125" style="39" customWidth="1"/>
    <col min="2" max="2" width="37.7109375" style="39" customWidth="1"/>
    <col min="3" max="3" width="35.42578125" style="39" customWidth="1"/>
    <col min="4" max="4" width="22.5703125" style="39" customWidth="1"/>
    <col min="5" max="5" width="19.85546875" style="39" customWidth="1"/>
    <col min="6" max="6" width="22.140625" style="39" customWidth="1"/>
    <col min="7" max="7" width="22.28515625" style="39" customWidth="1"/>
    <col min="8" max="8" width="21.85546875" style="39" customWidth="1"/>
    <col min="9" max="9" width="14.42578125" style="39" customWidth="1"/>
    <col min="10" max="10" width="16.5703125" style="39" customWidth="1"/>
    <col min="11" max="11" width="0" style="39" hidden="1"/>
    <col min="12" max="12" width="17.140625" style="39" bestFit="1" customWidth="1"/>
    <col min="13" max="13" width="79.85546875" style="39" bestFit="1" customWidth="1"/>
  </cols>
  <sheetData>
    <row r="1" spans="1:13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19" t="s">
        <v>8</v>
      </c>
      <c r="J1" s="19" t="s">
        <v>9</v>
      </c>
      <c r="K1" s="14" t="s">
        <v>10</v>
      </c>
      <c r="M1" s="47" t="s">
        <v>11</v>
      </c>
    </row>
    <row r="2" spans="1:13" x14ac:dyDescent="0.25">
      <c r="A2" s="30">
        <f ca="1">TODAY()</f>
        <v>45945</v>
      </c>
      <c r="B2" s="45" t="s">
        <v>12</v>
      </c>
      <c r="C2" s="45" t="s">
        <v>13</v>
      </c>
      <c r="D2" s="45">
        <v>717</v>
      </c>
      <c r="E2" s="45" t="s">
        <v>14</v>
      </c>
      <c r="F2" s="45" t="s">
        <v>15</v>
      </c>
      <c r="G2" s="45" t="s">
        <v>16</v>
      </c>
      <c r="H2" s="18" t="s">
        <v>17</v>
      </c>
      <c r="I2" s="45" t="s">
        <v>18</v>
      </c>
      <c r="J2" s="45">
        <v>98780340</v>
      </c>
      <c r="K2" t="s">
        <v>19</v>
      </c>
      <c r="L2" s="36" t="s">
        <v>20</v>
      </c>
      <c r="M2" s="25" t="str">
        <f>C2&amp;", "&amp;D2&amp;", "&amp;E2&amp;", "&amp;I2&amp;", "&amp;L2&amp;", "&amp;J2&amp;""</f>
        <v>Avenida Expedicionário Weber, 717, Centro, Santa Rosa, Rio Grande do Sul, 98780340</v>
      </c>
    </row>
    <row r="4" spans="1:13" x14ac:dyDescent="0.25">
      <c r="A4" s="46" t="s">
        <v>21</v>
      </c>
      <c r="B4" s="46" t="s">
        <v>22</v>
      </c>
      <c r="C4" s="46" t="s">
        <v>23</v>
      </c>
      <c r="D4" s="20" t="s">
        <v>24</v>
      </c>
      <c r="E4" s="22" t="s">
        <v>25</v>
      </c>
      <c r="F4" s="46" t="s">
        <v>364</v>
      </c>
      <c r="G4" s="46" t="s">
        <v>26</v>
      </c>
    </row>
    <row r="5" spans="1:13" x14ac:dyDescent="0.25">
      <c r="A5" s="2">
        <v>123</v>
      </c>
      <c r="B5" s="2" t="s">
        <v>27</v>
      </c>
      <c r="C5" s="2" t="s">
        <v>28</v>
      </c>
      <c r="D5" s="21" t="s">
        <v>29</v>
      </c>
      <c r="E5" s="2">
        <v>60.33</v>
      </c>
      <c r="F5" s="2" t="s">
        <v>30</v>
      </c>
      <c r="G5" s="2" t="s">
        <v>31</v>
      </c>
    </row>
    <row r="7" spans="1:13" x14ac:dyDescent="0.25">
      <c r="A7" s="46" t="s">
        <v>32</v>
      </c>
      <c r="B7" s="46" t="s">
        <v>33</v>
      </c>
      <c r="C7" s="46" t="s">
        <v>34</v>
      </c>
      <c r="D7" s="46" t="s">
        <v>35</v>
      </c>
      <c r="E7" s="46" t="s">
        <v>36</v>
      </c>
      <c r="F7" s="46" t="s">
        <v>37</v>
      </c>
      <c r="G7" s="46" t="s">
        <v>38</v>
      </c>
      <c r="H7" s="46" t="s">
        <v>39</v>
      </c>
      <c r="I7" s="46" t="s">
        <v>40</v>
      </c>
    </row>
    <row r="8" spans="1:13" x14ac:dyDescent="0.25">
      <c r="A8" s="2" t="s">
        <v>41</v>
      </c>
      <c r="B8" s="42" t="str">
        <f>IFERROR(VLOOKUP(F5,Planilha1!E3:L20,8,FALSE)," ")</f>
        <v>Monofásico</v>
      </c>
      <c r="C8" s="42" t="str">
        <f>IFERROR(VLOOKUP(F5,Planilha1!E3:L20,2,FALSE)," ")</f>
        <v>1#40</v>
      </c>
      <c r="D8" s="42" t="str">
        <f>IFERROR(VLOOKUP(C8,Planilha1!F3:G20,2,FALSE)," ")</f>
        <v>10 mm²</v>
      </c>
      <c r="E8" s="42" t="str">
        <f>IFERROR(VLOOKUP(C8,Planilha1!F3:H20,3,FALSE)," ")</f>
        <v xml:space="preserve">Duplex </v>
      </c>
      <c r="F8" s="42" t="str">
        <f>IFERROR(VLOOKUP(C8,Planilha1!F3:I20,4,FALSE)," ")</f>
        <v>10 mm²</v>
      </c>
      <c r="G8" s="42" t="str">
        <f>IFERROR(VLOOKUP(C8,Planilha1!F3:M20,8,FALSE)," ")</f>
        <v>10 mm²</v>
      </c>
      <c r="H8" s="42" t="str">
        <f>IFERROR(VLOOKUP(C8,Planilha1!F3:N20,9,FALSE)," ")</f>
        <v>10mm²</v>
      </c>
      <c r="I8" s="1" t="s">
        <v>10</v>
      </c>
    </row>
    <row r="10" spans="1:13" x14ac:dyDescent="0.25">
      <c r="A10" s="52" t="s">
        <v>42</v>
      </c>
      <c r="B10" s="53"/>
      <c r="C10" s="46" t="s">
        <v>43</v>
      </c>
      <c r="E10" s="46" t="s">
        <v>44</v>
      </c>
      <c r="F10" s="46" t="s">
        <v>45</v>
      </c>
    </row>
    <row r="11" spans="1:13" x14ac:dyDescent="0.25">
      <c r="A11" s="37" t="s">
        <v>46</v>
      </c>
      <c r="B11" s="42" t="e">
        <f ca="1">GetLatitude(M2)</f>
        <v>#NAME?</v>
      </c>
      <c r="C11" s="2"/>
      <c r="E11" s="42" t="str">
        <f>IFERROR(VLOOKUP(C8,Planilha1!F3:P20,10,FALSE)," ")</f>
        <v>40A</v>
      </c>
      <c r="F11" s="42" t="str">
        <f>IFERROR(VLOOKUP(C8,Planilha1!F3:P20,11,FALSE)," ")</f>
        <v>Monopolar</v>
      </c>
    </row>
    <row r="12" spans="1:13" x14ac:dyDescent="0.25">
      <c r="A12" s="37" t="s">
        <v>47</v>
      </c>
      <c r="B12" s="42" t="e">
        <f ca="1">GetLongitude(M2)</f>
        <v>#NAME?</v>
      </c>
      <c r="C12" s="46" t="s">
        <v>48</v>
      </c>
    </row>
    <row r="13" spans="1:13" x14ac:dyDescent="0.25">
      <c r="C13" s="38"/>
      <c r="E13" s="4"/>
      <c r="F13" s="4"/>
    </row>
    <row r="14" spans="1:13" x14ac:dyDescent="0.25">
      <c r="E14" s="23"/>
      <c r="F14" s="23"/>
    </row>
    <row r="17" spans="1:10" x14ac:dyDescent="0.25">
      <c r="A17" s="54" t="s">
        <v>49</v>
      </c>
      <c r="B17" s="55"/>
      <c r="C17" s="53"/>
      <c r="D17" s="54" t="s">
        <v>50</v>
      </c>
      <c r="E17" s="53"/>
      <c r="G17" s="56" t="s">
        <v>51</v>
      </c>
      <c r="H17" s="53"/>
    </row>
    <row r="18" spans="1:10" x14ac:dyDescent="0.25">
      <c r="A18" s="6" t="s">
        <v>21</v>
      </c>
      <c r="B18" s="6" t="s">
        <v>52</v>
      </c>
      <c r="C18" s="6" t="s">
        <v>53</v>
      </c>
      <c r="D18" s="40">
        <v>1</v>
      </c>
      <c r="E18" s="41"/>
      <c r="G18" s="49" t="s">
        <v>54</v>
      </c>
      <c r="H18" s="30">
        <f ca="1">EDATE(A2, 3)</f>
        <v>46037</v>
      </c>
    </row>
    <row r="19" spans="1:10" x14ac:dyDescent="0.25">
      <c r="A19" s="1"/>
      <c r="B19" s="7"/>
      <c r="C19" s="1"/>
      <c r="D19" s="16"/>
      <c r="G19" s="49" t="s">
        <v>55</v>
      </c>
      <c r="H19" s="1">
        <v>1312151</v>
      </c>
    </row>
    <row r="20" spans="1:10" x14ac:dyDescent="0.25">
      <c r="A20" s="1"/>
      <c r="B20" s="7"/>
      <c r="C20" s="1"/>
      <c r="D20" s="16"/>
    </row>
    <row r="21" spans="1:10" x14ac:dyDescent="0.25">
      <c r="A21" s="1"/>
      <c r="B21" s="7"/>
      <c r="C21" s="1"/>
      <c r="D21" s="16"/>
    </row>
    <row r="22" spans="1:10" x14ac:dyDescent="0.25">
      <c r="A22" s="1"/>
      <c r="B22" s="1"/>
      <c r="C22" s="1"/>
      <c r="D22" s="16"/>
    </row>
    <row r="23" spans="1:10" x14ac:dyDescent="0.25">
      <c r="A23" s="1"/>
      <c r="B23" s="1"/>
      <c r="C23" s="1"/>
      <c r="D23" s="16"/>
    </row>
    <row r="25" spans="1:10" x14ac:dyDescent="0.25">
      <c r="A25" s="54" t="s">
        <v>56</v>
      </c>
      <c r="B25" s="55"/>
      <c r="C25" s="55"/>
      <c r="D25" s="55"/>
      <c r="E25" s="55"/>
      <c r="F25" s="55"/>
      <c r="G25" s="55"/>
      <c r="H25" s="55"/>
      <c r="I25" s="53"/>
    </row>
    <row r="26" spans="1:10" x14ac:dyDescent="0.25">
      <c r="A26" s="6" t="s">
        <v>57</v>
      </c>
      <c r="B26" s="6" t="s">
        <v>58</v>
      </c>
      <c r="C26" s="6" t="s">
        <v>59</v>
      </c>
      <c r="D26" s="6" t="s">
        <v>60</v>
      </c>
      <c r="E26" s="6" t="s">
        <v>61</v>
      </c>
      <c r="F26" s="6" t="s">
        <v>62</v>
      </c>
      <c r="G26" s="6" t="s">
        <v>63</v>
      </c>
      <c r="H26" s="6" t="s">
        <v>64</v>
      </c>
      <c r="I26" s="6" t="s">
        <v>65</v>
      </c>
    </row>
    <row r="27" spans="1:10" x14ac:dyDescent="0.25">
      <c r="A27" s="45">
        <v>545</v>
      </c>
      <c r="B27" s="8" t="str">
        <f>IFERROR(VLOOKUP(A31,Planilha1!F24:I39,4,FALSE)," ")</f>
        <v>LR5-72HPH-545M</v>
      </c>
      <c r="C27" s="45" t="s">
        <v>66</v>
      </c>
      <c r="D27" s="45">
        <v>7</v>
      </c>
      <c r="E27" s="8">
        <f>IFERROR(VLOOKUP(A27,Planilha1!A24:B31,2,FALSE)," ")</f>
        <v>545</v>
      </c>
      <c r="F27" s="10">
        <f>(E27*D27)/1000</f>
        <v>3.8149999999999999</v>
      </c>
      <c r="G27" s="10" t="str">
        <f>TEXT(IFERROR(B31*D27," "),"#.##0,00")</f>
        <v>17,89</v>
      </c>
      <c r="H27" s="11" t="str">
        <f>IFERROR(VLOOKUP(B27,Planilha1!I24:K39,3,FALSE)," ")</f>
        <v>003746/2021</v>
      </c>
      <c r="I27" s="8">
        <f>IFERROR(VLOOKUP(B27,Planilha1!I24:L39,4,FALSE)," ")</f>
        <v>21.3</v>
      </c>
    </row>
    <row r="28" spans="1:10" x14ac:dyDescent="0.25">
      <c r="A28" s="6" t="s">
        <v>67</v>
      </c>
      <c r="B28" s="6" t="s">
        <v>58</v>
      </c>
      <c r="C28" s="6" t="s">
        <v>59</v>
      </c>
      <c r="D28" s="6" t="s">
        <v>68</v>
      </c>
      <c r="E28" s="6" t="s">
        <v>61</v>
      </c>
      <c r="F28" s="6" t="s">
        <v>69</v>
      </c>
      <c r="G28" s="6" t="s">
        <v>70</v>
      </c>
      <c r="H28" s="12" t="s">
        <v>24</v>
      </c>
      <c r="I28" s="6" t="s">
        <v>71</v>
      </c>
      <c r="J28" s="6" t="s">
        <v>417</v>
      </c>
    </row>
    <row r="29" spans="1:10" x14ac:dyDescent="0.25">
      <c r="A29" s="45">
        <v>3</v>
      </c>
      <c r="B29" s="8" t="str">
        <f>IFERROR(VLOOKUP(A32,Planilha1!F43:I98,4,FALSE)," ")</f>
        <v>S6-GR1P3K</v>
      </c>
      <c r="C29" s="45" t="s">
        <v>72</v>
      </c>
      <c r="D29" s="45">
        <v>1</v>
      </c>
      <c r="E29" s="8">
        <f>IFERROR(VLOOKUP(A29,Planilha1!A43:B64,2,FALSE)," ")</f>
        <v>3</v>
      </c>
      <c r="F29" s="8">
        <f>(E29*D29)</f>
        <v>3</v>
      </c>
      <c r="G29" s="10" t="str">
        <f>TEXT(IF(F29&lt;F27,F29,F27), "#.##0,00")</f>
        <v>3,00</v>
      </c>
      <c r="H29" s="8" t="str">
        <f>IFERROR(VLOOKUP(B29,Planilha1!I43:J98,2,)," ")</f>
        <v>Monofásico</v>
      </c>
      <c r="I29" s="8" t="str">
        <f>IFERROR(VLOOKUP(B29,Planilha1!I43:S98,3,FALSE)," ")</f>
        <v>15,7 A</v>
      </c>
      <c r="J29" s="11">
        <v>3123123</v>
      </c>
    </row>
    <row r="31" spans="1:10" hidden="1" x14ac:dyDescent="0.25">
      <c r="A31" t="str">
        <f>_xlfn.CONCAT(A27,C27)</f>
        <v>545LONGI</v>
      </c>
      <c r="B31">
        <f>VLOOKUP(B27,Planilha1!I24:J39,2,FALSE)</f>
        <v>2.5560479999999997</v>
      </c>
    </row>
    <row r="32" spans="1:10" hidden="1" x14ac:dyDescent="0.25">
      <c r="A32" t="str">
        <f>CONCATENATE(A29,C29)</f>
        <v>3SOLIS</v>
      </c>
    </row>
    <row r="33" spans="1:10" x14ac:dyDescent="0.25">
      <c r="A33" s="54" t="s">
        <v>73</v>
      </c>
      <c r="B33" s="55"/>
      <c r="C33" s="55"/>
      <c r="D33" s="55"/>
      <c r="E33" s="55"/>
      <c r="F33" s="53"/>
    </row>
    <row r="34" spans="1:10" x14ac:dyDescent="0.25">
      <c r="A34" s="57" t="s">
        <v>74</v>
      </c>
      <c r="B34" s="53"/>
      <c r="C34" s="57" t="s">
        <v>75</v>
      </c>
      <c r="D34" s="53"/>
      <c r="E34" s="57" t="s">
        <v>76</v>
      </c>
      <c r="F34" s="53"/>
    </row>
    <row r="35" spans="1:10" x14ac:dyDescent="0.25">
      <c r="A35" s="49" t="s">
        <v>77</v>
      </c>
      <c r="B35" s="49" t="s">
        <v>57</v>
      </c>
      <c r="C35" s="49" t="s">
        <v>77</v>
      </c>
      <c r="D35" s="49" t="s">
        <v>57</v>
      </c>
      <c r="E35" s="49" t="s">
        <v>77</v>
      </c>
      <c r="F35" s="49" t="s">
        <v>57</v>
      </c>
    </row>
    <row r="36" spans="1:10" x14ac:dyDescent="0.25">
      <c r="A36" s="45">
        <v>4</v>
      </c>
      <c r="B36" s="45">
        <v>2</v>
      </c>
      <c r="C36" s="45"/>
      <c r="D36" s="45"/>
      <c r="E36" s="45"/>
      <c r="F36" s="45"/>
    </row>
    <row r="38" spans="1:10" x14ac:dyDescent="0.25">
      <c r="A38" s="48" t="s">
        <v>78</v>
      </c>
      <c r="B38" s="48" t="s">
        <v>79</v>
      </c>
    </row>
    <row r="39" spans="1:10" x14ac:dyDescent="0.25">
      <c r="A39" s="49" t="s">
        <v>80</v>
      </c>
      <c r="B39" s="35">
        <f>((E27*1.4*0.95)/12)*D27</f>
        <v>422.82916666666665</v>
      </c>
    </row>
    <row r="40" spans="1:10" x14ac:dyDescent="0.25">
      <c r="A40" s="49" t="s">
        <v>81</v>
      </c>
      <c r="B40" s="35">
        <f>B39*12</f>
        <v>5073.95</v>
      </c>
    </row>
    <row r="42" spans="1:10" x14ac:dyDescent="0.25">
      <c r="A42" s="54" t="s">
        <v>82</v>
      </c>
      <c r="B42" s="54"/>
      <c r="C42" s="54"/>
      <c r="D42" s="54"/>
      <c r="E42" s="54"/>
      <c r="F42" s="54"/>
      <c r="G42" s="54"/>
      <c r="H42" s="54"/>
      <c r="I42" s="54"/>
      <c r="J42" s="54"/>
    </row>
    <row r="43" spans="1:10" x14ac:dyDescent="0.25">
      <c r="A43" s="6" t="s">
        <v>34</v>
      </c>
      <c r="B43" s="6" t="s">
        <v>83</v>
      </c>
      <c r="C43" s="6" t="s">
        <v>24</v>
      </c>
      <c r="D43" s="6" t="s">
        <v>84</v>
      </c>
      <c r="E43" s="6" t="s">
        <v>85</v>
      </c>
      <c r="F43" s="6" t="s">
        <v>86</v>
      </c>
      <c r="G43" s="6" t="s">
        <v>87</v>
      </c>
      <c r="H43" s="6" t="s">
        <v>40</v>
      </c>
      <c r="I43" s="6" t="s">
        <v>416</v>
      </c>
      <c r="J43" s="6" t="s">
        <v>415</v>
      </c>
    </row>
    <row r="44" spans="1:10" x14ac:dyDescent="0.25">
      <c r="A44" s="8" t="str">
        <f>IFERROR(VLOOKUP(B29,Planilha1!I43:S98,4,FALSE)," ")</f>
        <v>16A</v>
      </c>
      <c r="B44" s="8" t="str">
        <f>IFERROR(VLOOKUP(B29,Planilha1!I43:M98,5,FALSE)," ")</f>
        <v>bipolar</v>
      </c>
      <c r="C44" s="8" t="str">
        <f>IFERROR(VLOOKUP(B29,Planilha1!I43:N98,6,FALSE)," ")</f>
        <v>400V</v>
      </c>
      <c r="D44" s="8" t="str">
        <f>IFERROR(VLOOKUP(B29,Planilha1!I43:O98,7,FALSE)," ")</f>
        <v>2</v>
      </c>
      <c r="E44" s="8">
        <f>IFERROR(VLOOKUP(DADOS!B29,Planilha1!I43:P98,8,FALSE)," ")</f>
        <v>1</v>
      </c>
      <c r="F44" s="8" t="str">
        <f>IFERROR(VLOOKUP(B29,Planilha1!I43:Q98,9,FALSE)," ")</f>
        <v>4 mm²</v>
      </c>
      <c r="G44" s="8" t="str">
        <f>IFERROR(VLOOKUP(B29,Planilha1!I43:R98,10,FALSE)," ")</f>
        <v>6 mm²</v>
      </c>
      <c r="H44" s="8" t="str">
        <f>IFERROR(VLOOKUP(B29,Planilha1!I43:S98,11,FALSE)," ")</f>
        <v>750V (PVC)</v>
      </c>
      <c r="I44" s="8">
        <v>23</v>
      </c>
      <c r="J44" s="8">
        <v>30</v>
      </c>
    </row>
    <row r="46" spans="1:10" x14ac:dyDescent="0.25">
      <c r="A46" s="54" t="s">
        <v>88</v>
      </c>
      <c r="B46" s="55"/>
      <c r="C46" s="55"/>
      <c r="D46" s="55"/>
      <c r="E46" s="55"/>
      <c r="F46" s="55"/>
      <c r="G46" s="55"/>
      <c r="H46" s="53"/>
    </row>
    <row r="47" spans="1:10" x14ac:dyDescent="0.25">
      <c r="A47" s="6" t="s">
        <v>34</v>
      </c>
      <c r="B47" s="6" t="s">
        <v>83</v>
      </c>
      <c r="C47" s="6" t="s">
        <v>24</v>
      </c>
      <c r="D47" s="6" t="s">
        <v>84</v>
      </c>
      <c r="E47" s="6"/>
      <c r="F47" s="6" t="s">
        <v>89</v>
      </c>
      <c r="G47" s="6" t="s">
        <v>87</v>
      </c>
      <c r="H47" s="6"/>
    </row>
    <row r="48" spans="1:10" x14ac:dyDescent="0.25">
      <c r="A48" s="8" t="str">
        <f>IFERROR(VLOOKUP(B33,Planilha1!I47:S102,4,FALSE)," ")</f>
        <v>16A</v>
      </c>
      <c r="B48" s="8" t="str">
        <f>IFERROR(VLOOKUP(B33,Planilha1!I47:M102,5,FALSE)," ")</f>
        <v>bipolar</v>
      </c>
      <c r="C48" s="8" t="str">
        <f>IFERROR(VLOOKUP(B33,Planilha1!I47:N102,6,FALSE)," ")</f>
        <v>400V</v>
      </c>
      <c r="D48" s="8" t="str">
        <f>IFERROR(VLOOKUP(B33,Planilha1!I47:O102,7,FALSE)," ")</f>
        <v>2</v>
      </c>
      <c r="E48" s="8"/>
      <c r="F48" s="8" t="str">
        <f>IFERROR(VLOOKUP(B33,Planilha1!I47:Q102,9,FALSE)," ")</f>
        <v>4 mm²</v>
      </c>
      <c r="G48" s="8" t="str">
        <f>IFERROR(VLOOKUP(B33,Planilha1!I47:R102,10,FALSE)," ")</f>
        <v>6 mm²</v>
      </c>
      <c r="H48" s="8"/>
    </row>
    <row r="50" spans="1:10" hidden="1" x14ac:dyDescent="0.25">
      <c r="A50">
        <f>A36+C36+E36</f>
        <v>4</v>
      </c>
    </row>
    <row r="51" spans="1:10" x14ac:dyDescent="0.25">
      <c r="A51" s="6" t="s">
        <v>90</v>
      </c>
      <c r="B51" s="6" t="s">
        <v>34</v>
      </c>
      <c r="C51" s="4"/>
      <c r="D51" s="4"/>
      <c r="E51" s="4"/>
      <c r="F51" s="4"/>
      <c r="G51" s="4"/>
      <c r="H51" s="4"/>
    </row>
    <row r="52" spans="1:10" x14ac:dyDescent="0.25">
      <c r="A52" s="8" t="str">
        <f>IF(B52="20A","25A",B52)</f>
        <v xml:space="preserve"> </v>
      </c>
      <c r="B52" s="8" t="str">
        <f>IFERROR(VLOOKUP(F29,Planilha1!U43:V52,2,FALSE)," ")</f>
        <v xml:space="preserve"> </v>
      </c>
      <c r="C52" s="4"/>
      <c r="D52" s="4"/>
      <c r="E52" s="4"/>
      <c r="F52" s="4"/>
      <c r="G52" s="4"/>
      <c r="H52" s="4"/>
    </row>
    <row r="53" spans="1:10" x14ac:dyDescent="0.25">
      <c r="J53"/>
    </row>
  </sheetData>
  <mergeCells count="11">
    <mergeCell ref="A10:B10"/>
    <mergeCell ref="A17:C17"/>
    <mergeCell ref="A46:H46"/>
    <mergeCell ref="D17:E17"/>
    <mergeCell ref="G17:H17"/>
    <mergeCell ref="A34:B34"/>
    <mergeCell ref="E34:F34"/>
    <mergeCell ref="C34:D34"/>
    <mergeCell ref="A25:I25"/>
    <mergeCell ref="A33:F33"/>
    <mergeCell ref="A42:J42"/>
  </mergeCells>
  <dataValidations count="1">
    <dataValidation type="list" allowBlank="1" showInputMessage="1" showErrorMessage="1" sqref="I8" xr:uid="{00000000-0002-0000-0000-000000000000}">
      <formula1>$K$1:$K$2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V131"/>
  <sheetViews>
    <sheetView topLeftCell="A36" workbookViewId="0">
      <selection activeCell="H43" sqref="H43"/>
    </sheetView>
  </sheetViews>
  <sheetFormatPr defaultRowHeight="15" x14ac:dyDescent="0.25"/>
  <cols>
    <col min="1" max="1" width="19.140625" style="39" customWidth="1"/>
    <col min="2" max="2" width="14.5703125" style="39" customWidth="1"/>
    <col min="3" max="3" width="9.140625" style="39" customWidth="1"/>
    <col min="4" max="4" width="20.7109375" style="39" customWidth="1"/>
    <col min="5" max="5" width="17.7109375" style="39" customWidth="1"/>
    <col min="7" max="7" width="16.5703125" style="39" bestFit="1" customWidth="1"/>
    <col min="8" max="8" width="19.42578125" style="39" customWidth="1"/>
    <col min="9" max="9" width="17.85546875" style="39" customWidth="1"/>
    <col min="10" max="10" width="12.85546875" style="39" bestFit="1" customWidth="1"/>
    <col min="11" max="11" width="13.140625" style="39" customWidth="1"/>
    <col min="12" max="12" width="11.28515625" style="39" bestFit="1" customWidth="1"/>
    <col min="13" max="13" width="12.140625" style="39" customWidth="1"/>
    <col min="14" max="14" width="12.42578125" style="39" bestFit="1" customWidth="1"/>
    <col min="16" max="16" width="10.7109375" style="39" customWidth="1"/>
    <col min="19" max="19" width="11.42578125" style="4" customWidth="1"/>
    <col min="20" max="20" width="16.42578125" style="39" customWidth="1"/>
    <col min="21" max="21" width="14.140625" style="39" customWidth="1"/>
    <col min="22" max="22" width="11" style="39" bestFit="1" customWidth="1"/>
  </cols>
  <sheetData>
    <row r="1" spans="1:22" ht="15.75" customHeight="1" thickBot="1" x14ac:dyDescent="0.3">
      <c r="A1" s="63" t="s">
        <v>91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  <c r="T1" s="64"/>
      <c r="U1" s="64"/>
      <c r="V1" s="64"/>
    </row>
    <row r="2" spans="1:22" ht="16.5" customHeight="1" thickTop="1" thickBot="1" x14ac:dyDescent="0.3">
      <c r="A2" s="50" t="s">
        <v>92</v>
      </c>
      <c r="B2" s="60" t="s">
        <v>93</v>
      </c>
      <c r="C2" s="61"/>
      <c r="D2" s="50" t="s">
        <v>92</v>
      </c>
      <c r="E2" s="50" t="s">
        <v>94</v>
      </c>
      <c r="F2" s="50" t="s">
        <v>95</v>
      </c>
      <c r="G2" s="50" t="s">
        <v>96</v>
      </c>
      <c r="H2" s="50" t="s">
        <v>97</v>
      </c>
      <c r="I2" s="50" t="s">
        <v>98</v>
      </c>
      <c r="J2" s="50" t="s">
        <v>99</v>
      </c>
      <c r="K2" s="50" t="s">
        <v>100</v>
      </c>
      <c r="L2" s="50" t="s">
        <v>101</v>
      </c>
      <c r="M2" s="50" t="s">
        <v>102</v>
      </c>
      <c r="N2" s="50" t="s">
        <v>103</v>
      </c>
      <c r="O2" s="50" t="s">
        <v>95</v>
      </c>
      <c r="P2" s="50" t="s">
        <v>104</v>
      </c>
    </row>
    <row r="3" spans="1:22" ht="15.75" customHeight="1" thickTop="1" x14ac:dyDescent="0.25">
      <c r="A3" t="s">
        <v>105</v>
      </c>
      <c r="B3" t="s">
        <v>106</v>
      </c>
      <c r="C3">
        <v>0.22</v>
      </c>
      <c r="D3" t="s">
        <v>107</v>
      </c>
      <c r="E3" s="29" t="s">
        <v>30</v>
      </c>
      <c r="F3" t="s">
        <v>108</v>
      </c>
      <c r="G3" t="s">
        <v>109</v>
      </c>
      <c r="H3" t="s">
        <v>110</v>
      </c>
      <c r="I3" t="s">
        <v>109</v>
      </c>
      <c r="J3" t="s">
        <v>31</v>
      </c>
      <c r="K3" t="s">
        <v>111</v>
      </c>
      <c r="L3" t="s">
        <v>112</v>
      </c>
      <c r="M3" t="s">
        <v>109</v>
      </c>
      <c r="N3" s="28" t="s">
        <v>113</v>
      </c>
      <c r="O3" t="s">
        <v>114</v>
      </c>
      <c r="P3" t="s">
        <v>115</v>
      </c>
    </row>
    <row r="4" spans="1:22" x14ac:dyDescent="0.25">
      <c r="A4" t="s">
        <v>116</v>
      </c>
      <c r="B4" t="s">
        <v>29</v>
      </c>
      <c r="C4" t="s">
        <v>117</v>
      </c>
      <c r="D4" t="s">
        <v>118</v>
      </c>
      <c r="E4" s="29" t="s">
        <v>119</v>
      </c>
      <c r="F4" t="s">
        <v>120</v>
      </c>
      <c r="G4" t="s">
        <v>121</v>
      </c>
      <c r="H4" t="s">
        <v>110</v>
      </c>
      <c r="I4" t="s">
        <v>109</v>
      </c>
      <c r="J4" t="s">
        <v>122</v>
      </c>
      <c r="K4" t="s">
        <v>41</v>
      </c>
      <c r="L4" t="s">
        <v>112</v>
      </c>
      <c r="M4" t="s">
        <v>121</v>
      </c>
      <c r="N4" s="28" t="s">
        <v>121</v>
      </c>
      <c r="O4" t="s">
        <v>123</v>
      </c>
      <c r="P4" t="s">
        <v>115</v>
      </c>
    </row>
    <row r="5" spans="1:22" x14ac:dyDescent="0.25">
      <c r="A5" t="s">
        <v>27</v>
      </c>
      <c r="B5" t="s">
        <v>124</v>
      </c>
      <c r="C5" t="s">
        <v>125</v>
      </c>
      <c r="D5" t="s">
        <v>28</v>
      </c>
      <c r="E5" s="29" t="s">
        <v>126</v>
      </c>
      <c r="F5" t="s">
        <v>127</v>
      </c>
      <c r="G5" t="s">
        <v>128</v>
      </c>
      <c r="H5" t="s">
        <v>110</v>
      </c>
      <c r="I5" t="s">
        <v>128</v>
      </c>
      <c r="K5" t="s">
        <v>129</v>
      </c>
      <c r="L5" t="s">
        <v>112</v>
      </c>
      <c r="M5" t="s">
        <v>113</v>
      </c>
      <c r="N5" s="28" t="s">
        <v>128</v>
      </c>
      <c r="O5" t="s">
        <v>130</v>
      </c>
      <c r="P5" t="s">
        <v>115</v>
      </c>
    </row>
    <row r="6" spans="1:22" x14ac:dyDescent="0.25">
      <c r="A6" t="s">
        <v>131</v>
      </c>
      <c r="B6" t="s">
        <v>132</v>
      </c>
      <c r="C6">
        <v>23.1</v>
      </c>
      <c r="D6" t="s">
        <v>133</v>
      </c>
      <c r="E6" s="29" t="s">
        <v>134</v>
      </c>
      <c r="F6" t="s">
        <v>135</v>
      </c>
      <c r="G6" t="s">
        <v>109</v>
      </c>
      <c r="H6" t="s">
        <v>136</v>
      </c>
      <c r="I6" t="s">
        <v>109</v>
      </c>
      <c r="L6" t="s">
        <v>137</v>
      </c>
      <c r="M6" t="s">
        <v>109</v>
      </c>
      <c r="N6" s="28" t="s">
        <v>109</v>
      </c>
      <c r="O6" t="s">
        <v>138</v>
      </c>
      <c r="P6" t="s">
        <v>139</v>
      </c>
    </row>
    <row r="7" spans="1:22" x14ac:dyDescent="0.25">
      <c r="E7" s="29" t="s">
        <v>140</v>
      </c>
      <c r="F7" t="s">
        <v>141</v>
      </c>
      <c r="G7" t="s">
        <v>109</v>
      </c>
      <c r="H7" t="s">
        <v>136</v>
      </c>
      <c r="I7" t="s">
        <v>109</v>
      </c>
      <c r="L7" t="s">
        <v>137</v>
      </c>
      <c r="M7" t="s">
        <v>109</v>
      </c>
      <c r="N7" s="28" t="s">
        <v>109</v>
      </c>
      <c r="O7" t="s">
        <v>114</v>
      </c>
      <c r="P7" t="s">
        <v>139</v>
      </c>
    </row>
    <row r="8" spans="1:22" x14ac:dyDescent="0.25">
      <c r="E8" s="29" t="s">
        <v>142</v>
      </c>
      <c r="F8" t="s">
        <v>135</v>
      </c>
      <c r="G8" t="s">
        <v>143</v>
      </c>
      <c r="H8" t="s">
        <v>136</v>
      </c>
      <c r="I8" t="s">
        <v>109</v>
      </c>
      <c r="L8" t="s">
        <v>137</v>
      </c>
      <c r="M8" t="s">
        <v>109</v>
      </c>
      <c r="N8" s="28" t="s">
        <v>143</v>
      </c>
      <c r="O8" t="s">
        <v>138</v>
      </c>
      <c r="P8" t="s">
        <v>139</v>
      </c>
    </row>
    <row r="9" spans="1:22" x14ac:dyDescent="0.25">
      <c r="E9" s="29" t="s">
        <v>144</v>
      </c>
      <c r="F9" t="s">
        <v>145</v>
      </c>
      <c r="G9" t="s">
        <v>146</v>
      </c>
      <c r="H9" t="s">
        <v>136</v>
      </c>
      <c r="I9" t="s">
        <v>113</v>
      </c>
      <c r="L9" t="s">
        <v>137</v>
      </c>
      <c r="M9" t="s">
        <v>109</v>
      </c>
      <c r="N9" s="28" t="s">
        <v>143</v>
      </c>
      <c r="O9" t="s">
        <v>147</v>
      </c>
      <c r="P9" t="s">
        <v>139</v>
      </c>
    </row>
    <row r="10" spans="1:22" x14ac:dyDescent="0.25">
      <c r="E10" s="29" t="s">
        <v>148</v>
      </c>
      <c r="F10" t="s">
        <v>149</v>
      </c>
      <c r="G10" t="s">
        <v>113</v>
      </c>
      <c r="H10" t="s">
        <v>150</v>
      </c>
      <c r="I10" t="s">
        <v>113</v>
      </c>
      <c r="L10" t="s">
        <v>151</v>
      </c>
      <c r="M10" t="s">
        <v>113</v>
      </c>
      <c r="N10" s="28" t="s">
        <v>109</v>
      </c>
      <c r="O10" t="s">
        <v>114</v>
      </c>
      <c r="P10" t="s">
        <v>152</v>
      </c>
    </row>
    <row r="11" spans="1:22" x14ac:dyDescent="0.25">
      <c r="E11" s="29" t="s">
        <v>153</v>
      </c>
      <c r="F11" t="s">
        <v>154</v>
      </c>
      <c r="G11" t="s">
        <v>128</v>
      </c>
      <c r="H11" t="s">
        <v>150</v>
      </c>
      <c r="I11" t="s">
        <v>128</v>
      </c>
      <c r="L11" t="s">
        <v>151</v>
      </c>
      <c r="M11" t="s">
        <v>113</v>
      </c>
      <c r="N11" s="28" t="s">
        <v>109</v>
      </c>
      <c r="O11" t="s">
        <v>130</v>
      </c>
      <c r="P11" t="s">
        <v>152</v>
      </c>
    </row>
    <row r="12" spans="1:22" x14ac:dyDescent="0.25">
      <c r="E12" s="29" t="s">
        <v>155</v>
      </c>
      <c r="F12" t="s">
        <v>156</v>
      </c>
      <c r="G12" t="s">
        <v>157</v>
      </c>
      <c r="H12" t="s">
        <v>150</v>
      </c>
      <c r="I12" t="s">
        <v>157</v>
      </c>
      <c r="L12" t="s">
        <v>151</v>
      </c>
      <c r="M12" t="s">
        <v>113</v>
      </c>
      <c r="N12" s="28" t="s">
        <v>109</v>
      </c>
      <c r="O12" t="s">
        <v>158</v>
      </c>
      <c r="P12" t="s">
        <v>152</v>
      </c>
    </row>
    <row r="13" spans="1:22" x14ac:dyDescent="0.25">
      <c r="E13" s="29" t="s">
        <v>159</v>
      </c>
      <c r="F13" t="s">
        <v>160</v>
      </c>
      <c r="G13" t="s">
        <v>161</v>
      </c>
      <c r="H13" t="s">
        <v>150</v>
      </c>
      <c r="I13" t="s">
        <v>161</v>
      </c>
      <c r="L13" t="s">
        <v>151</v>
      </c>
      <c r="M13" t="s">
        <v>113</v>
      </c>
      <c r="N13" s="28" t="s">
        <v>109</v>
      </c>
      <c r="O13" t="s">
        <v>162</v>
      </c>
      <c r="P13" t="s">
        <v>152</v>
      </c>
    </row>
    <row r="14" spans="1:22" x14ac:dyDescent="0.25">
      <c r="E14" s="29" t="s">
        <v>163</v>
      </c>
      <c r="F14" t="s">
        <v>164</v>
      </c>
      <c r="G14" t="s">
        <v>165</v>
      </c>
      <c r="H14" t="s">
        <v>150</v>
      </c>
      <c r="I14" t="s">
        <v>161</v>
      </c>
      <c r="L14" t="s">
        <v>151</v>
      </c>
      <c r="M14" t="s">
        <v>128</v>
      </c>
      <c r="N14" s="28" t="s">
        <v>143</v>
      </c>
      <c r="O14" t="s">
        <v>166</v>
      </c>
      <c r="P14" t="s">
        <v>152</v>
      </c>
    </row>
    <row r="15" spans="1:22" x14ac:dyDescent="0.25">
      <c r="E15" s="29" t="s">
        <v>167</v>
      </c>
      <c r="F15" t="s">
        <v>168</v>
      </c>
      <c r="G15" t="s">
        <v>109</v>
      </c>
      <c r="H15" t="s">
        <v>150</v>
      </c>
      <c r="I15" t="s">
        <v>109</v>
      </c>
      <c r="L15" t="s">
        <v>151</v>
      </c>
      <c r="M15" t="s">
        <v>109</v>
      </c>
      <c r="N15" s="28" t="s">
        <v>109</v>
      </c>
      <c r="O15" t="s">
        <v>169</v>
      </c>
      <c r="P15" t="s">
        <v>152</v>
      </c>
    </row>
    <row r="16" spans="1:22" x14ac:dyDescent="0.25">
      <c r="E16" s="29" t="s">
        <v>170</v>
      </c>
      <c r="F16" t="s">
        <v>149</v>
      </c>
      <c r="G16" t="s">
        <v>109</v>
      </c>
      <c r="H16" t="s">
        <v>150</v>
      </c>
      <c r="I16" t="s">
        <v>109</v>
      </c>
      <c r="L16" t="s">
        <v>151</v>
      </c>
      <c r="M16" t="s">
        <v>109</v>
      </c>
      <c r="N16" s="28" t="s">
        <v>109</v>
      </c>
      <c r="O16" t="s">
        <v>114</v>
      </c>
      <c r="P16" t="s">
        <v>152</v>
      </c>
    </row>
    <row r="17" spans="1:22" x14ac:dyDescent="0.25">
      <c r="E17" s="29" t="s">
        <v>171</v>
      </c>
      <c r="F17" t="s">
        <v>172</v>
      </c>
      <c r="G17" t="s">
        <v>143</v>
      </c>
      <c r="H17" t="s">
        <v>150</v>
      </c>
      <c r="I17" t="s">
        <v>143</v>
      </c>
      <c r="L17" t="s">
        <v>151</v>
      </c>
      <c r="M17" t="s">
        <v>109</v>
      </c>
      <c r="N17" s="28" t="s">
        <v>143</v>
      </c>
      <c r="O17" t="s">
        <v>138</v>
      </c>
      <c r="P17" t="s">
        <v>152</v>
      </c>
    </row>
    <row r="18" spans="1:22" x14ac:dyDescent="0.25">
      <c r="E18" t="s">
        <v>173</v>
      </c>
      <c r="F18" t="s">
        <v>174</v>
      </c>
      <c r="G18" t="s">
        <v>146</v>
      </c>
      <c r="H18" t="s">
        <v>150</v>
      </c>
      <c r="I18" t="s">
        <v>146</v>
      </c>
      <c r="L18" t="s">
        <v>151</v>
      </c>
      <c r="M18" t="s">
        <v>109</v>
      </c>
      <c r="N18" s="28" t="s">
        <v>143</v>
      </c>
      <c r="O18" t="s">
        <v>147</v>
      </c>
      <c r="P18" t="s">
        <v>152</v>
      </c>
    </row>
    <row r="19" spans="1:22" x14ac:dyDescent="0.25">
      <c r="E19" t="s">
        <v>175</v>
      </c>
      <c r="F19" t="s">
        <v>160</v>
      </c>
      <c r="G19" t="s">
        <v>176</v>
      </c>
      <c r="H19" t="s">
        <v>150</v>
      </c>
      <c r="I19" t="s">
        <v>176</v>
      </c>
      <c r="L19" t="s">
        <v>151</v>
      </c>
      <c r="M19" t="s">
        <v>109</v>
      </c>
      <c r="N19" s="28" t="s">
        <v>143</v>
      </c>
      <c r="O19" t="s">
        <v>162</v>
      </c>
      <c r="P19" t="s">
        <v>152</v>
      </c>
    </row>
    <row r="20" spans="1:22" x14ac:dyDescent="0.25">
      <c r="E20" t="s">
        <v>177</v>
      </c>
      <c r="F20" t="s">
        <v>164</v>
      </c>
      <c r="G20" t="s">
        <v>178</v>
      </c>
      <c r="H20" t="s">
        <v>150</v>
      </c>
      <c r="I20" t="s">
        <v>178</v>
      </c>
      <c r="L20" t="s">
        <v>151</v>
      </c>
      <c r="M20" t="s">
        <v>143</v>
      </c>
      <c r="N20" s="28" t="s">
        <v>146</v>
      </c>
      <c r="O20" t="s">
        <v>166</v>
      </c>
      <c r="P20" t="s">
        <v>152</v>
      </c>
    </row>
    <row r="22" spans="1:22" ht="15.75" customHeight="1" thickBot="1" x14ac:dyDescent="0.3">
      <c r="A22" s="63" t="s">
        <v>57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5"/>
      <c r="T22" s="64"/>
      <c r="U22" s="64"/>
      <c r="V22" s="64"/>
    </row>
    <row r="23" spans="1:22" ht="16.5" customHeight="1" thickTop="1" thickBot="1" x14ac:dyDescent="0.3">
      <c r="A23" s="60" t="s">
        <v>179</v>
      </c>
      <c r="B23" s="69"/>
      <c r="C23" s="61"/>
      <c r="D23" s="50" t="s">
        <v>180</v>
      </c>
      <c r="E23" s="50" t="s">
        <v>181</v>
      </c>
      <c r="F23" s="60" t="s">
        <v>182</v>
      </c>
      <c r="G23" s="61"/>
      <c r="H23" s="50" t="s">
        <v>183</v>
      </c>
      <c r="I23" s="50" t="s">
        <v>180</v>
      </c>
      <c r="J23" s="50" t="s">
        <v>184</v>
      </c>
      <c r="K23" s="50" t="s">
        <v>185</v>
      </c>
      <c r="L23" s="50" t="s">
        <v>186</v>
      </c>
      <c r="M23" s="32"/>
      <c r="N23" s="32"/>
      <c r="O23" s="32"/>
      <c r="P23" s="32"/>
    </row>
    <row r="24" spans="1:22" ht="15.75" customHeight="1" thickTop="1" x14ac:dyDescent="0.25">
      <c r="A24">
        <v>450</v>
      </c>
      <c r="B24">
        <v>450</v>
      </c>
      <c r="C24">
        <v>450</v>
      </c>
      <c r="D24" t="s">
        <v>187</v>
      </c>
      <c r="E24" t="s">
        <v>188</v>
      </c>
      <c r="F24" t="str">
        <f t="shared" ref="F24:F36" si="0">CONCATENATE(C24,E24)</f>
        <v>450RISEN SOLAR</v>
      </c>
      <c r="H24" t="s">
        <v>189</v>
      </c>
      <c r="I24" s="1" t="str">
        <f t="shared" ref="I24:I36" si="1">D24</f>
        <v>RSM144-7-450M</v>
      </c>
      <c r="J24" s="9">
        <f>2.108*1.048</f>
        <v>2.209184</v>
      </c>
      <c r="K24" s="5" t="s">
        <v>190</v>
      </c>
      <c r="L24">
        <v>20.399999999999999</v>
      </c>
    </row>
    <row r="25" spans="1:22" x14ac:dyDescent="0.25">
      <c r="A25">
        <v>455</v>
      </c>
      <c r="B25">
        <v>455</v>
      </c>
      <c r="C25">
        <v>450</v>
      </c>
      <c r="D25" t="s">
        <v>191</v>
      </c>
      <c r="E25" t="s">
        <v>189</v>
      </c>
      <c r="F25" t="str">
        <f t="shared" si="0"/>
        <v>450BYD</v>
      </c>
      <c r="H25" t="s">
        <v>192</v>
      </c>
      <c r="I25" s="1" t="str">
        <f t="shared" si="1"/>
        <v>BYD450MGK-36</v>
      </c>
      <c r="J25" s="9">
        <f>2.094*1.038</f>
        <v>2.1735720000000001</v>
      </c>
      <c r="K25" s="5" t="s">
        <v>193</v>
      </c>
      <c r="L25">
        <v>20.67</v>
      </c>
    </row>
    <row r="26" spans="1:22" x14ac:dyDescent="0.25">
      <c r="A26">
        <v>500</v>
      </c>
      <c r="B26">
        <v>500</v>
      </c>
      <c r="C26">
        <v>455</v>
      </c>
      <c r="D26" t="s">
        <v>194</v>
      </c>
      <c r="E26" t="s">
        <v>189</v>
      </c>
      <c r="F26" t="str">
        <f t="shared" si="0"/>
        <v>455BYD</v>
      </c>
      <c r="H26" t="s">
        <v>195</v>
      </c>
      <c r="I26" s="1" t="str">
        <f t="shared" si="1"/>
        <v>BYD455MGK-36</v>
      </c>
      <c r="J26" s="9">
        <f>2.094*1.038</f>
        <v>2.1735720000000001</v>
      </c>
      <c r="K26" s="5" t="s">
        <v>193</v>
      </c>
      <c r="L26">
        <v>20.9</v>
      </c>
    </row>
    <row r="27" spans="1:22" x14ac:dyDescent="0.25">
      <c r="A27">
        <v>510</v>
      </c>
      <c r="B27">
        <v>510</v>
      </c>
      <c r="C27">
        <v>500</v>
      </c>
      <c r="D27" t="s">
        <v>196</v>
      </c>
      <c r="E27" t="s">
        <v>66</v>
      </c>
      <c r="F27" t="str">
        <f t="shared" si="0"/>
        <v>500LONGI</v>
      </c>
      <c r="H27" t="s">
        <v>197</v>
      </c>
      <c r="I27" s="1" t="str">
        <f t="shared" si="1"/>
        <v>LR5-66HPH-500M</v>
      </c>
      <c r="J27" s="9">
        <f>2.073*1.133</f>
        <v>2.3487089999999999</v>
      </c>
      <c r="K27" s="5" t="s">
        <v>198</v>
      </c>
      <c r="L27">
        <v>21.3</v>
      </c>
    </row>
    <row r="28" spans="1:22" x14ac:dyDescent="0.25">
      <c r="A28">
        <v>535</v>
      </c>
      <c r="B28">
        <v>535</v>
      </c>
      <c r="C28">
        <v>510</v>
      </c>
      <c r="D28" t="s">
        <v>199</v>
      </c>
      <c r="E28" t="s">
        <v>200</v>
      </c>
      <c r="F28" t="str">
        <f t="shared" si="0"/>
        <v>510TRINA SOLAR</v>
      </c>
      <c r="H28" t="s">
        <v>66</v>
      </c>
      <c r="I28" s="1" t="str">
        <f t="shared" si="1"/>
        <v>TSM-510DE18(II)</v>
      </c>
      <c r="J28" s="9">
        <f>2.187*1.102</f>
        <v>2.4100739999999998</v>
      </c>
      <c r="K28" s="5" t="s">
        <v>201</v>
      </c>
      <c r="L28">
        <v>21.2</v>
      </c>
    </row>
    <row r="29" spans="1:22" x14ac:dyDescent="0.25">
      <c r="A29">
        <v>540</v>
      </c>
      <c r="B29">
        <v>540</v>
      </c>
      <c r="C29">
        <v>535</v>
      </c>
      <c r="D29" t="s">
        <v>202</v>
      </c>
      <c r="E29" t="s">
        <v>189</v>
      </c>
      <c r="F29" t="str">
        <f t="shared" si="0"/>
        <v>535BYD</v>
      </c>
      <c r="H29" t="s">
        <v>188</v>
      </c>
      <c r="I29" s="1" t="str">
        <f t="shared" si="1"/>
        <v>BYD535MLK-36</v>
      </c>
      <c r="J29" s="9">
        <f>2.278*1.134</f>
        <v>2.5832519999999999</v>
      </c>
      <c r="K29" s="5" t="s">
        <v>203</v>
      </c>
      <c r="L29">
        <v>20.71</v>
      </c>
    </row>
    <row r="30" spans="1:22" x14ac:dyDescent="0.25">
      <c r="A30">
        <v>545</v>
      </c>
      <c r="B30">
        <v>545</v>
      </c>
      <c r="C30">
        <v>540</v>
      </c>
      <c r="D30" t="s">
        <v>204</v>
      </c>
      <c r="E30" t="s">
        <v>189</v>
      </c>
      <c r="F30" t="str">
        <f t="shared" si="0"/>
        <v>540BYD</v>
      </c>
      <c r="H30" t="s">
        <v>200</v>
      </c>
      <c r="I30" s="1" t="str">
        <f t="shared" si="1"/>
        <v>BYD540MLK-36</v>
      </c>
      <c r="J30" s="9">
        <f>2.278*1.134</f>
        <v>2.5832519999999999</v>
      </c>
      <c r="K30" s="5" t="s">
        <v>203</v>
      </c>
      <c r="L30">
        <v>20.9</v>
      </c>
    </row>
    <row r="31" spans="1:22" x14ac:dyDescent="0.25">
      <c r="A31">
        <v>550</v>
      </c>
      <c r="B31">
        <v>550</v>
      </c>
      <c r="C31">
        <v>540</v>
      </c>
      <c r="D31" t="s">
        <v>205</v>
      </c>
      <c r="E31" t="s">
        <v>197</v>
      </c>
      <c r="F31" t="str">
        <f t="shared" si="0"/>
        <v>540JA SOLAR</v>
      </c>
      <c r="I31" s="1" t="str">
        <f t="shared" si="1"/>
        <v>JAM72S30-540/MR</v>
      </c>
      <c r="J31" s="9">
        <f>2.279*1.134</f>
        <v>2.5843859999999999</v>
      </c>
      <c r="K31" s="5" t="s">
        <v>206</v>
      </c>
      <c r="L31">
        <v>20.9</v>
      </c>
    </row>
    <row r="32" spans="1:22" x14ac:dyDescent="0.25">
      <c r="A32" s="28" t="s">
        <v>207</v>
      </c>
      <c r="C32">
        <v>545</v>
      </c>
      <c r="D32" t="s">
        <v>208</v>
      </c>
      <c r="E32" t="s">
        <v>197</v>
      </c>
      <c r="F32" t="str">
        <f t="shared" si="0"/>
        <v>545JA SOLAR</v>
      </c>
      <c r="I32" s="1" t="str">
        <f t="shared" si="1"/>
        <v>JAM72S30-545/MR</v>
      </c>
      <c r="J32" s="9">
        <f>2.279*1.134</f>
        <v>2.5843859999999999</v>
      </c>
      <c r="K32" s="5" t="s">
        <v>206</v>
      </c>
      <c r="L32">
        <v>21.1</v>
      </c>
    </row>
    <row r="33" spans="1:22" x14ac:dyDescent="0.25">
      <c r="A33" s="28" t="s">
        <v>209</v>
      </c>
      <c r="C33">
        <v>545</v>
      </c>
      <c r="D33" t="s">
        <v>210</v>
      </c>
      <c r="E33" t="s">
        <v>189</v>
      </c>
      <c r="F33" t="str">
        <f t="shared" si="0"/>
        <v>545BYD</v>
      </c>
      <c r="I33" s="1" t="str">
        <f t="shared" si="1"/>
        <v>BYD545MLK-36</v>
      </c>
      <c r="J33" s="9">
        <f>2.278*1.134</f>
        <v>2.5832519999999999</v>
      </c>
      <c r="K33" s="5" t="s">
        <v>203</v>
      </c>
      <c r="L33">
        <v>21.1</v>
      </c>
    </row>
    <row r="34" spans="1:22" x14ac:dyDescent="0.25">
      <c r="A34" s="28" t="s">
        <v>211</v>
      </c>
      <c r="C34">
        <v>545</v>
      </c>
      <c r="D34" t="s">
        <v>212</v>
      </c>
      <c r="E34" t="s">
        <v>66</v>
      </c>
      <c r="F34" t="str">
        <f t="shared" si="0"/>
        <v>545LONGI</v>
      </c>
      <c r="I34" s="1" t="str">
        <f t="shared" si="1"/>
        <v>LR5-72HPH-545M</v>
      </c>
      <c r="J34" s="9">
        <f>2.256*1.133</f>
        <v>2.5560479999999997</v>
      </c>
      <c r="K34" s="5" t="s">
        <v>198</v>
      </c>
      <c r="L34">
        <v>21.3</v>
      </c>
    </row>
    <row r="35" spans="1:22" x14ac:dyDescent="0.25">
      <c r="A35" s="28"/>
      <c r="C35">
        <v>545</v>
      </c>
      <c r="D35" t="s">
        <v>213</v>
      </c>
      <c r="E35" t="s">
        <v>192</v>
      </c>
      <c r="F35" t="str">
        <f t="shared" si="0"/>
        <v>545CANADIAN SOLAR</v>
      </c>
      <c r="I35" s="1" t="str">
        <f t="shared" si="1"/>
        <v>CS6W-545MS</v>
      </c>
      <c r="J35" s="9">
        <f>2.261*1.134</f>
        <v>2.563974</v>
      </c>
      <c r="K35" s="5" t="s">
        <v>214</v>
      </c>
      <c r="L35">
        <v>21.3</v>
      </c>
    </row>
    <row r="36" spans="1:22" x14ac:dyDescent="0.25">
      <c r="A36" s="28"/>
      <c r="F36" t="str">
        <f t="shared" si="0"/>
        <v/>
      </c>
      <c r="I36" s="1">
        <f t="shared" si="1"/>
        <v>0</v>
      </c>
      <c r="J36" s="9"/>
      <c r="K36" s="5"/>
    </row>
    <row r="37" spans="1:22" x14ac:dyDescent="0.25">
      <c r="A37" s="28"/>
      <c r="I37" s="1"/>
      <c r="J37" s="9"/>
      <c r="K37" s="5"/>
    </row>
    <row r="38" spans="1:22" x14ac:dyDescent="0.25">
      <c r="I38" s="1"/>
      <c r="J38" s="9"/>
      <c r="K38" s="5"/>
    </row>
    <row r="39" spans="1:22" x14ac:dyDescent="0.25">
      <c r="C39">
        <v>550</v>
      </c>
      <c r="D39" t="s">
        <v>215</v>
      </c>
      <c r="E39" t="s">
        <v>195</v>
      </c>
      <c r="F39" t="str">
        <f>CONCATENATE(C39,E39)</f>
        <v>550DAH SOLAR</v>
      </c>
      <c r="I39" s="1" t="str">
        <f>D39</f>
        <v>DHM-72X10-550W</v>
      </c>
      <c r="J39" s="9">
        <f>2.256*1.133</f>
        <v>2.5560479999999997</v>
      </c>
      <c r="K39" s="5" t="s">
        <v>216</v>
      </c>
      <c r="L39">
        <v>21.5</v>
      </c>
    </row>
    <row r="40" spans="1:22" x14ac:dyDescent="0.25">
      <c r="J40" s="33"/>
      <c r="K40" s="34"/>
    </row>
    <row r="41" spans="1:22" ht="15.75" customHeight="1" thickBot="1" x14ac:dyDescent="0.3">
      <c r="A41" s="66" t="s">
        <v>67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</row>
    <row r="42" spans="1:22" ht="16.5" customHeight="1" thickTop="1" thickBot="1" x14ac:dyDescent="0.3">
      <c r="A42" s="70" t="s">
        <v>217</v>
      </c>
      <c r="B42" s="69"/>
      <c r="C42" s="61"/>
      <c r="D42" s="31" t="s">
        <v>180</v>
      </c>
      <c r="E42" s="31" t="s">
        <v>181</v>
      </c>
      <c r="F42" s="60" t="s">
        <v>182</v>
      </c>
      <c r="G42" s="61"/>
      <c r="H42" s="50" t="s">
        <v>183</v>
      </c>
      <c r="I42" s="50" t="s">
        <v>180</v>
      </c>
      <c r="J42" s="31" t="s">
        <v>218</v>
      </c>
      <c r="K42" s="31" t="s">
        <v>219</v>
      </c>
      <c r="L42" s="70" t="s">
        <v>95</v>
      </c>
      <c r="M42" s="61"/>
      <c r="N42" s="31" t="s">
        <v>93</v>
      </c>
      <c r="O42" s="31" t="s">
        <v>84</v>
      </c>
      <c r="P42" s="31" t="s">
        <v>85</v>
      </c>
      <c r="Q42" s="31" t="s">
        <v>86</v>
      </c>
      <c r="R42" s="31" t="s">
        <v>220</v>
      </c>
      <c r="S42" s="51" t="s">
        <v>40</v>
      </c>
      <c r="T42" s="31" t="s">
        <v>221</v>
      </c>
      <c r="U42" s="31" t="s">
        <v>222</v>
      </c>
      <c r="V42" s="31" t="s">
        <v>34</v>
      </c>
    </row>
    <row r="43" spans="1:22" ht="15.75" customHeight="1" thickTop="1" x14ac:dyDescent="0.25">
      <c r="A43">
        <v>3.6</v>
      </c>
      <c r="B43">
        <v>3.6</v>
      </c>
      <c r="C43">
        <v>3.6</v>
      </c>
      <c r="D43" t="s">
        <v>223</v>
      </c>
      <c r="E43" t="s">
        <v>224</v>
      </c>
      <c r="F43" t="str">
        <f t="shared" ref="F43:F74" si="2">CONCATENATE(C43,E43)</f>
        <v>3,6APSYSTEMS</v>
      </c>
      <c r="H43" t="s">
        <v>189</v>
      </c>
      <c r="I43" t="str">
        <f t="shared" ref="I43:I53" si="3">D43</f>
        <v>QTD2</v>
      </c>
      <c r="J43" t="s">
        <v>151</v>
      </c>
      <c r="K43" s="34" t="s">
        <v>225</v>
      </c>
      <c r="L43" s="34" t="s">
        <v>226</v>
      </c>
      <c r="M43" s="34" t="s">
        <v>227</v>
      </c>
      <c r="N43" s="34" t="s">
        <v>228</v>
      </c>
      <c r="O43" s="34" t="s">
        <v>229</v>
      </c>
      <c r="P43">
        <v>1</v>
      </c>
      <c r="Q43" s="34" t="s">
        <v>230</v>
      </c>
      <c r="R43" s="34" t="s">
        <v>231</v>
      </c>
      <c r="S43" s="13" t="s">
        <v>10</v>
      </c>
      <c r="T43" t="s">
        <v>232</v>
      </c>
      <c r="U43">
        <v>6</v>
      </c>
      <c r="V43" t="s">
        <v>233</v>
      </c>
    </row>
    <row r="44" spans="1:22" x14ac:dyDescent="0.25">
      <c r="A44">
        <v>3</v>
      </c>
      <c r="B44">
        <v>3</v>
      </c>
      <c r="C44">
        <v>3</v>
      </c>
      <c r="D44" t="s">
        <v>234</v>
      </c>
      <c r="E44" t="s">
        <v>235</v>
      </c>
      <c r="F44" t="str">
        <f t="shared" si="2"/>
        <v>3SOFAR</v>
      </c>
      <c r="H44" t="s">
        <v>236</v>
      </c>
      <c r="I44" t="str">
        <f t="shared" si="3"/>
        <v>SOFAR 3KTLM-G3</v>
      </c>
      <c r="J44" t="s">
        <v>112</v>
      </c>
      <c r="K44" s="34" t="s">
        <v>237</v>
      </c>
      <c r="L44" s="34" t="s">
        <v>238</v>
      </c>
      <c r="M44" s="34" t="s">
        <v>239</v>
      </c>
      <c r="N44" s="34" t="s">
        <v>228</v>
      </c>
      <c r="O44" s="34" t="s">
        <v>240</v>
      </c>
      <c r="P44">
        <v>1</v>
      </c>
      <c r="Q44" s="34" t="s">
        <v>230</v>
      </c>
      <c r="R44" s="34" t="s">
        <v>231</v>
      </c>
      <c r="S44" s="13" t="s">
        <v>10</v>
      </c>
      <c r="T44" t="s">
        <v>241</v>
      </c>
      <c r="U44">
        <v>8</v>
      </c>
      <c r="V44" t="s">
        <v>242</v>
      </c>
    </row>
    <row r="45" spans="1:22" x14ac:dyDescent="0.25">
      <c r="A45">
        <v>4</v>
      </c>
      <c r="B45">
        <v>4</v>
      </c>
      <c r="C45">
        <v>3</v>
      </c>
      <c r="D45" t="s">
        <v>243</v>
      </c>
      <c r="E45" t="s">
        <v>72</v>
      </c>
      <c r="F45" t="str">
        <f t="shared" si="2"/>
        <v>3SOLIS</v>
      </c>
      <c r="H45" t="s">
        <v>224</v>
      </c>
      <c r="I45" t="str">
        <f t="shared" si="3"/>
        <v>S6-GR1P3K</v>
      </c>
      <c r="J45" t="s">
        <v>112</v>
      </c>
      <c r="K45" t="s">
        <v>244</v>
      </c>
      <c r="L45" s="34" t="s">
        <v>238</v>
      </c>
      <c r="M45" s="34" t="s">
        <v>239</v>
      </c>
      <c r="N45" s="34" t="s">
        <v>228</v>
      </c>
      <c r="O45" s="34" t="s">
        <v>240</v>
      </c>
      <c r="P45">
        <v>1</v>
      </c>
      <c r="Q45" s="34" t="s">
        <v>230</v>
      </c>
      <c r="R45" s="34" t="s">
        <v>231</v>
      </c>
      <c r="S45" s="13" t="s">
        <v>10</v>
      </c>
      <c r="T45" t="s">
        <v>241</v>
      </c>
      <c r="U45">
        <v>9</v>
      </c>
      <c r="V45" t="s">
        <v>233</v>
      </c>
    </row>
    <row r="46" spans="1:22" x14ac:dyDescent="0.25">
      <c r="A46">
        <v>5</v>
      </c>
      <c r="B46">
        <v>5</v>
      </c>
      <c r="C46">
        <v>3</v>
      </c>
      <c r="D46" t="s">
        <v>245</v>
      </c>
      <c r="E46" t="s">
        <v>236</v>
      </c>
      <c r="F46" t="str">
        <f t="shared" si="2"/>
        <v>3RENOVIGI</v>
      </c>
      <c r="H46" t="s">
        <v>72</v>
      </c>
      <c r="I46" t="str">
        <f t="shared" si="3"/>
        <v>RENO3K-HC</v>
      </c>
      <c r="J46" t="s">
        <v>112</v>
      </c>
      <c r="K46" s="34" t="s">
        <v>244</v>
      </c>
      <c r="L46" s="34" t="s">
        <v>238</v>
      </c>
      <c r="M46" s="34" t="s">
        <v>239</v>
      </c>
      <c r="N46" s="34" t="s">
        <v>228</v>
      </c>
      <c r="O46" s="34" t="s">
        <v>240</v>
      </c>
      <c r="P46">
        <v>1</v>
      </c>
      <c r="Q46" s="34" t="s">
        <v>230</v>
      </c>
      <c r="R46" s="34" t="s">
        <v>231</v>
      </c>
      <c r="S46" s="13" t="s">
        <v>10</v>
      </c>
      <c r="T46" t="s">
        <v>241</v>
      </c>
      <c r="U46">
        <v>10</v>
      </c>
      <c r="V46" t="s">
        <v>242</v>
      </c>
    </row>
    <row r="47" spans="1:22" x14ac:dyDescent="0.25">
      <c r="A47">
        <v>6</v>
      </c>
      <c r="B47">
        <v>6</v>
      </c>
      <c r="C47">
        <v>3</v>
      </c>
      <c r="D47" s="24"/>
      <c r="E47" t="s">
        <v>189</v>
      </c>
      <c r="F47" t="str">
        <f t="shared" si="2"/>
        <v>3BYD</v>
      </c>
      <c r="I47">
        <f t="shared" si="3"/>
        <v>0</v>
      </c>
      <c r="J47" t="s">
        <v>112</v>
      </c>
      <c r="K47" t="e">
        <f>VLOOKUP(D47,D102:E104,2,FALSE)</f>
        <v>#N/A</v>
      </c>
      <c r="L47" s="34" t="s">
        <v>238</v>
      </c>
      <c r="M47" s="34" t="s">
        <v>239</v>
      </c>
      <c r="N47" s="34" t="s">
        <v>228</v>
      </c>
      <c r="O47" s="34" t="s">
        <v>240</v>
      </c>
      <c r="P47">
        <v>1</v>
      </c>
      <c r="Q47" s="34" t="s">
        <v>230</v>
      </c>
      <c r="R47" s="34" t="s">
        <v>231</v>
      </c>
      <c r="S47" s="13" t="s">
        <v>10</v>
      </c>
      <c r="T47" t="s">
        <v>241</v>
      </c>
      <c r="U47">
        <v>12</v>
      </c>
      <c r="V47" t="s">
        <v>123</v>
      </c>
    </row>
    <row r="48" spans="1:22" x14ac:dyDescent="0.25">
      <c r="A48">
        <v>7.5</v>
      </c>
      <c r="B48">
        <v>7.5</v>
      </c>
      <c r="C48">
        <v>4</v>
      </c>
      <c r="D48" t="s">
        <v>246</v>
      </c>
      <c r="E48" t="s">
        <v>247</v>
      </c>
      <c r="F48" t="str">
        <f t="shared" si="2"/>
        <v xml:space="preserve">4SOFAR </v>
      </c>
      <c r="I48" t="str">
        <f t="shared" si="3"/>
        <v>SOFAR 4KTLM-G3</v>
      </c>
      <c r="J48" t="s">
        <v>112</v>
      </c>
      <c r="K48" t="s">
        <v>248</v>
      </c>
      <c r="L48" s="34" t="s">
        <v>242</v>
      </c>
      <c r="M48" s="34" t="s">
        <v>239</v>
      </c>
      <c r="N48" s="34" t="s">
        <v>228</v>
      </c>
      <c r="O48" s="34" t="s">
        <v>240</v>
      </c>
      <c r="P48">
        <v>1</v>
      </c>
      <c r="Q48" s="34" t="s">
        <v>230</v>
      </c>
      <c r="R48" s="34" t="s">
        <v>231</v>
      </c>
      <c r="S48" s="13" t="s">
        <v>10</v>
      </c>
      <c r="T48" t="s">
        <v>241</v>
      </c>
      <c r="U48">
        <f>7.5*2</f>
        <v>15</v>
      </c>
      <c r="V48" t="s">
        <v>114</v>
      </c>
    </row>
    <row r="49" spans="1:22" x14ac:dyDescent="0.25">
      <c r="A49">
        <v>7.7</v>
      </c>
      <c r="B49">
        <v>7.7</v>
      </c>
      <c r="C49">
        <v>4</v>
      </c>
      <c r="D49" t="s">
        <v>249</v>
      </c>
      <c r="E49" t="s">
        <v>72</v>
      </c>
      <c r="F49" t="str">
        <f t="shared" si="2"/>
        <v>4SOLIS</v>
      </c>
      <c r="I49" t="str">
        <f t="shared" si="3"/>
        <v>S6-GR1P4K</v>
      </c>
      <c r="J49" t="s">
        <v>112</v>
      </c>
      <c r="K49" t="s">
        <v>250</v>
      </c>
      <c r="L49" s="34" t="s">
        <v>242</v>
      </c>
      <c r="M49" s="34" t="s">
        <v>239</v>
      </c>
      <c r="N49" s="34" t="s">
        <v>228</v>
      </c>
      <c r="O49" s="34" t="s">
        <v>240</v>
      </c>
      <c r="P49">
        <v>1</v>
      </c>
      <c r="Q49" s="34" t="s">
        <v>230</v>
      </c>
      <c r="R49" s="34" t="s">
        <v>231</v>
      </c>
      <c r="S49" s="13" t="s">
        <v>10</v>
      </c>
      <c r="T49" t="s">
        <v>241</v>
      </c>
      <c r="U49">
        <f>7.7*2</f>
        <v>15.4</v>
      </c>
      <c r="V49" t="s">
        <v>114</v>
      </c>
    </row>
    <row r="50" spans="1:22" x14ac:dyDescent="0.25">
      <c r="A50">
        <v>8</v>
      </c>
      <c r="B50">
        <v>8</v>
      </c>
      <c r="C50">
        <v>4</v>
      </c>
      <c r="D50" t="s">
        <v>251</v>
      </c>
      <c r="E50" t="s">
        <v>236</v>
      </c>
      <c r="F50" t="str">
        <f t="shared" si="2"/>
        <v>4RENOVIGI</v>
      </c>
      <c r="I50" t="str">
        <f t="shared" si="3"/>
        <v>RENO4K-HC</v>
      </c>
      <c r="J50" t="s">
        <v>112</v>
      </c>
      <c r="K50" t="s">
        <v>250</v>
      </c>
      <c r="L50" s="34" t="s">
        <v>242</v>
      </c>
      <c r="M50" s="34" t="s">
        <v>239</v>
      </c>
      <c r="N50" s="34" t="s">
        <v>228</v>
      </c>
      <c r="O50" s="34" t="s">
        <v>240</v>
      </c>
      <c r="P50">
        <v>1</v>
      </c>
      <c r="Q50" s="34" t="s">
        <v>230</v>
      </c>
      <c r="R50" s="34" t="s">
        <v>231</v>
      </c>
      <c r="S50" s="13" t="s">
        <v>10</v>
      </c>
      <c r="T50" t="s">
        <v>241</v>
      </c>
      <c r="U50">
        <v>16</v>
      </c>
      <c r="V50" t="s">
        <v>114</v>
      </c>
    </row>
    <row r="51" spans="1:22" x14ac:dyDescent="0.25">
      <c r="A51">
        <v>9</v>
      </c>
      <c r="B51">
        <v>9</v>
      </c>
      <c r="C51">
        <v>5</v>
      </c>
      <c r="D51" t="s">
        <v>252</v>
      </c>
      <c r="E51" t="s">
        <v>235</v>
      </c>
      <c r="F51" t="str">
        <f t="shared" si="2"/>
        <v>5SOFAR</v>
      </c>
      <c r="I51" t="str">
        <f t="shared" si="3"/>
        <v>SOFAR 5KTLM-G3</v>
      </c>
      <c r="J51" t="s">
        <v>112</v>
      </c>
      <c r="K51" t="s">
        <v>253</v>
      </c>
      <c r="L51" s="34" t="s">
        <v>242</v>
      </c>
      <c r="M51" s="34" t="s">
        <v>239</v>
      </c>
      <c r="N51" s="34" t="s">
        <v>228</v>
      </c>
      <c r="O51" s="34" t="s">
        <v>240</v>
      </c>
      <c r="P51">
        <v>1</v>
      </c>
      <c r="Q51" s="34" t="s">
        <v>230</v>
      </c>
      <c r="R51" s="34" t="s">
        <v>231</v>
      </c>
      <c r="S51" s="13" t="s">
        <v>10</v>
      </c>
      <c r="T51" t="s">
        <v>241</v>
      </c>
      <c r="U51">
        <v>18</v>
      </c>
      <c r="V51" t="s">
        <v>114</v>
      </c>
    </row>
    <row r="52" spans="1:22" x14ac:dyDescent="0.25">
      <c r="A52">
        <v>10</v>
      </c>
      <c r="B52">
        <v>10</v>
      </c>
      <c r="C52">
        <v>5</v>
      </c>
      <c r="D52" t="s">
        <v>254</v>
      </c>
      <c r="E52" t="s">
        <v>72</v>
      </c>
      <c r="F52" t="str">
        <f t="shared" si="2"/>
        <v>5SOLIS</v>
      </c>
      <c r="I52" t="str">
        <f t="shared" si="3"/>
        <v>S6-GR1P5K</v>
      </c>
      <c r="J52" t="s">
        <v>112</v>
      </c>
      <c r="K52" t="s">
        <v>253</v>
      </c>
      <c r="L52" s="34" t="s">
        <v>242</v>
      </c>
      <c r="M52" s="34" t="s">
        <v>239</v>
      </c>
      <c r="N52" s="34" t="s">
        <v>228</v>
      </c>
      <c r="O52" s="34" t="s">
        <v>240</v>
      </c>
      <c r="P52">
        <v>1</v>
      </c>
      <c r="Q52" s="34" t="s">
        <v>230</v>
      </c>
      <c r="R52" s="34" t="s">
        <v>231</v>
      </c>
      <c r="S52" s="13" t="s">
        <v>10</v>
      </c>
      <c r="T52" t="s">
        <v>241</v>
      </c>
      <c r="U52">
        <v>20</v>
      </c>
      <c r="V52" t="s">
        <v>138</v>
      </c>
    </row>
    <row r="53" spans="1:22" x14ac:dyDescent="0.25">
      <c r="A53">
        <v>10.5</v>
      </c>
      <c r="B53">
        <v>10.5</v>
      </c>
      <c r="C53">
        <v>5</v>
      </c>
      <c r="D53" t="s">
        <v>255</v>
      </c>
      <c r="E53" t="s">
        <v>236</v>
      </c>
      <c r="F53" t="str">
        <f t="shared" si="2"/>
        <v>5RENOVIGI</v>
      </c>
      <c r="I53" t="str">
        <f t="shared" si="3"/>
        <v>RENO5K-HC</v>
      </c>
      <c r="J53" t="s">
        <v>112</v>
      </c>
      <c r="K53" t="s">
        <v>253</v>
      </c>
      <c r="L53" s="34" t="s">
        <v>242</v>
      </c>
      <c r="M53" s="34" t="s">
        <v>239</v>
      </c>
      <c r="N53" s="34" t="s">
        <v>228</v>
      </c>
      <c r="O53" s="34" t="s">
        <v>240</v>
      </c>
      <c r="P53">
        <v>1</v>
      </c>
      <c r="Q53" s="34" t="s">
        <v>230</v>
      </c>
      <c r="R53" s="34" t="s">
        <v>231</v>
      </c>
      <c r="S53" s="13" t="s">
        <v>10</v>
      </c>
      <c r="T53" t="s">
        <v>241</v>
      </c>
    </row>
    <row r="54" spans="1:22" x14ac:dyDescent="0.25">
      <c r="A54">
        <v>12</v>
      </c>
      <c r="B54">
        <v>12</v>
      </c>
      <c r="C54">
        <v>5</v>
      </c>
      <c r="D54" t="s">
        <v>256</v>
      </c>
      <c r="E54" t="s">
        <v>189</v>
      </c>
      <c r="F54" t="str">
        <f t="shared" si="2"/>
        <v>5BYD</v>
      </c>
      <c r="I54">
        <f>D66</f>
        <v>0</v>
      </c>
      <c r="J54" t="s">
        <v>112</v>
      </c>
      <c r="K54" t="s">
        <v>253</v>
      </c>
      <c r="L54" s="34" t="s">
        <v>242</v>
      </c>
      <c r="M54" s="34" t="s">
        <v>239</v>
      </c>
      <c r="N54" s="34" t="s">
        <v>228</v>
      </c>
      <c r="O54" s="34" t="s">
        <v>240</v>
      </c>
      <c r="P54">
        <v>1</v>
      </c>
      <c r="Q54" s="34" t="s">
        <v>230</v>
      </c>
      <c r="R54" s="34" t="s">
        <v>231</v>
      </c>
      <c r="S54" s="13" t="s">
        <v>10</v>
      </c>
      <c r="T54" t="s">
        <v>241</v>
      </c>
    </row>
    <row r="55" spans="1:22" x14ac:dyDescent="0.25">
      <c r="A55">
        <v>15</v>
      </c>
      <c r="B55">
        <v>15</v>
      </c>
      <c r="C55">
        <v>6</v>
      </c>
      <c r="D55" t="s">
        <v>257</v>
      </c>
      <c r="E55" t="s">
        <v>235</v>
      </c>
      <c r="F55" t="str">
        <f t="shared" si="2"/>
        <v>6SOFAR</v>
      </c>
      <c r="I55" t="str">
        <f t="shared" ref="I55:I99" si="4">D55</f>
        <v>SOFAR 6KTLM-G3</v>
      </c>
      <c r="J55" t="s">
        <v>112</v>
      </c>
      <c r="K55" t="s">
        <v>258</v>
      </c>
      <c r="L55" s="34" t="s">
        <v>123</v>
      </c>
      <c r="M55" s="34" t="s">
        <v>239</v>
      </c>
      <c r="N55" s="34" t="s">
        <v>228</v>
      </c>
      <c r="O55" s="34" t="s">
        <v>240</v>
      </c>
      <c r="P55">
        <v>1</v>
      </c>
      <c r="Q55" s="34" t="s">
        <v>231</v>
      </c>
      <c r="R55" s="34" t="s">
        <v>231</v>
      </c>
      <c r="S55" s="13" t="s">
        <v>10</v>
      </c>
      <c r="T55" t="s">
        <v>241</v>
      </c>
    </row>
    <row r="56" spans="1:22" x14ac:dyDescent="0.25">
      <c r="A56">
        <v>20</v>
      </c>
      <c r="B56">
        <v>20</v>
      </c>
      <c r="C56">
        <v>6</v>
      </c>
      <c r="D56" t="s">
        <v>259</v>
      </c>
      <c r="E56" t="s">
        <v>72</v>
      </c>
      <c r="F56" t="str">
        <f t="shared" si="2"/>
        <v>6SOLIS</v>
      </c>
      <c r="I56" t="str">
        <f t="shared" si="4"/>
        <v>S6-GR1P6K</v>
      </c>
      <c r="J56" t="s">
        <v>112</v>
      </c>
      <c r="K56" t="s">
        <v>260</v>
      </c>
      <c r="L56" s="34" t="s">
        <v>123</v>
      </c>
      <c r="M56" s="34" t="s">
        <v>239</v>
      </c>
      <c r="N56" s="34" t="s">
        <v>228</v>
      </c>
      <c r="O56" s="34" t="s">
        <v>240</v>
      </c>
      <c r="P56">
        <v>1</v>
      </c>
      <c r="Q56" s="34" t="s">
        <v>231</v>
      </c>
      <c r="R56" s="34" t="s">
        <v>231</v>
      </c>
      <c r="S56" s="13" t="s">
        <v>10</v>
      </c>
      <c r="T56" t="s">
        <v>241</v>
      </c>
    </row>
    <row r="57" spans="1:22" x14ac:dyDescent="0.25">
      <c r="A57">
        <v>25</v>
      </c>
      <c r="B57">
        <v>25</v>
      </c>
      <c r="C57">
        <v>6</v>
      </c>
      <c r="D57" t="s">
        <v>261</v>
      </c>
      <c r="E57" t="s">
        <v>189</v>
      </c>
      <c r="F57" t="str">
        <f t="shared" si="2"/>
        <v>6BYD</v>
      </c>
      <c r="I57" t="str">
        <f t="shared" si="4"/>
        <v>BYD-K-1P6K-2M</v>
      </c>
      <c r="J57" t="s">
        <v>112</v>
      </c>
      <c r="K57" t="s">
        <v>262</v>
      </c>
      <c r="L57" s="34" t="s">
        <v>123</v>
      </c>
      <c r="M57" s="34" t="s">
        <v>239</v>
      </c>
      <c r="N57" s="34" t="s">
        <v>228</v>
      </c>
      <c r="O57" s="34" t="s">
        <v>240</v>
      </c>
      <c r="P57">
        <v>1</v>
      </c>
      <c r="Q57" s="34" t="s">
        <v>231</v>
      </c>
      <c r="R57" s="34" t="s">
        <v>231</v>
      </c>
      <c r="S57" s="13" t="s">
        <v>10</v>
      </c>
      <c r="T57" t="s">
        <v>241</v>
      </c>
    </row>
    <row r="58" spans="1:22" x14ac:dyDescent="0.25">
      <c r="A58">
        <v>30</v>
      </c>
      <c r="B58">
        <v>30</v>
      </c>
      <c r="C58">
        <v>7.5</v>
      </c>
      <c r="D58" t="s">
        <v>263</v>
      </c>
      <c r="E58" t="s">
        <v>235</v>
      </c>
      <c r="F58" t="str">
        <f t="shared" si="2"/>
        <v>7,5SOFAR</v>
      </c>
      <c r="I58" t="str">
        <f t="shared" si="4"/>
        <v>SOFAR 7,5KTLM</v>
      </c>
      <c r="J58" t="s">
        <v>112</v>
      </c>
      <c r="K58" t="s">
        <v>264</v>
      </c>
      <c r="L58" s="34" t="s">
        <v>114</v>
      </c>
      <c r="M58" s="34" t="s">
        <v>239</v>
      </c>
      <c r="N58" s="34" t="s">
        <v>228</v>
      </c>
      <c r="O58" s="34" t="s">
        <v>240</v>
      </c>
      <c r="P58">
        <v>1</v>
      </c>
      <c r="Q58" s="34" t="s">
        <v>109</v>
      </c>
      <c r="R58" s="34" t="s">
        <v>109</v>
      </c>
      <c r="S58" s="13" t="s">
        <v>10</v>
      </c>
      <c r="T58" t="s">
        <v>241</v>
      </c>
    </row>
    <row r="59" spans="1:22" x14ac:dyDescent="0.25">
      <c r="A59">
        <v>33</v>
      </c>
      <c r="B59">
        <v>33</v>
      </c>
      <c r="C59">
        <v>7.7</v>
      </c>
      <c r="D59" t="s">
        <v>265</v>
      </c>
      <c r="E59" t="s">
        <v>236</v>
      </c>
      <c r="F59" t="str">
        <f t="shared" si="2"/>
        <v>7,7RENOVIGI</v>
      </c>
      <c r="I59" t="str">
        <f t="shared" si="4"/>
        <v>RENO 7,7K</v>
      </c>
      <c r="J59" t="s">
        <v>112</v>
      </c>
      <c r="K59" t="s">
        <v>266</v>
      </c>
      <c r="L59" s="34" t="s">
        <v>114</v>
      </c>
      <c r="M59" s="34" t="s">
        <v>239</v>
      </c>
      <c r="N59" s="34" t="s">
        <v>228</v>
      </c>
      <c r="O59" s="34" t="s">
        <v>240</v>
      </c>
      <c r="P59">
        <v>1</v>
      </c>
      <c r="Q59" s="34" t="s">
        <v>109</v>
      </c>
      <c r="R59" s="34" t="s">
        <v>109</v>
      </c>
      <c r="S59" s="13" t="s">
        <v>10</v>
      </c>
      <c r="T59" t="s">
        <v>241</v>
      </c>
    </row>
    <row r="60" spans="1:22" x14ac:dyDescent="0.25">
      <c r="A60">
        <v>36</v>
      </c>
      <c r="B60">
        <v>36</v>
      </c>
      <c r="C60">
        <v>7.7</v>
      </c>
      <c r="D60" t="s">
        <v>267</v>
      </c>
      <c r="E60" t="s">
        <v>72</v>
      </c>
      <c r="F60" t="str">
        <f t="shared" si="2"/>
        <v>7,7SOLIS</v>
      </c>
      <c r="I60" t="str">
        <f t="shared" si="4"/>
        <v>SOLIS-1P7.7K-5G</v>
      </c>
      <c r="J60" t="s">
        <v>112</v>
      </c>
      <c r="K60" t="s">
        <v>266</v>
      </c>
      <c r="L60" s="34" t="s">
        <v>114</v>
      </c>
      <c r="M60" s="34" t="s">
        <v>239</v>
      </c>
      <c r="N60" s="34" t="s">
        <v>228</v>
      </c>
      <c r="O60" s="34" t="s">
        <v>240</v>
      </c>
      <c r="P60">
        <v>1</v>
      </c>
      <c r="Q60" s="34" t="s">
        <v>109</v>
      </c>
      <c r="R60" s="34" t="s">
        <v>109</v>
      </c>
      <c r="S60" s="13" t="s">
        <v>10</v>
      </c>
      <c r="T60" t="s">
        <v>241</v>
      </c>
    </row>
    <row r="61" spans="1:22" x14ac:dyDescent="0.25">
      <c r="A61">
        <v>40</v>
      </c>
      <c r="B61">
        <v>40</v>
      </c>
      <c r="C61">
        <v>8</v>
      </c>
      <c r="D61" s="24"/>
      <c r="E61" t="s">
        <v>189</v>
      </c>
      <c r="F61" t="str">
        <f t="shared" si="2"/>
        <v>8BYD</v>
      </c>
      <c r="I61">
        <f t="shared" si="4"/>
        <v>0</v>
      </c>
      <c r="J61" t="s">
        <v>112</v>
      </c>
      <c r="K61" t="e">
        <f>VLOOKUP(D61,D107:E109,2,FALSE)</f>
        <v>#N/A</v>
      </c>
      <c r="L61" s="34" t="s">
        <v>114</v>
      </c>
      <c r="M61" s="34" t="s">
        <v>239</v>
      </c>
      <c r="N61" s="34" t="s">
        <v>228</v>
      </c>
      <c r="O61" s="34" t="s">
        <v>240</v>
      </c>
      <c r="P61">
        <v>1</v>
      </c>
      <c r="Q61" s="34" t="s">
        <v>109</v>
      </c>
      <c r="R61" s="34" t="s">
        <v>109</v>
      </c>
      <c r="S61" s="13" t="s">
        <v>10</v>
      </c>
      <c r="T61" t="s">
        <v>241</v>
      </c>
    </row>
    <row r="62" spans="1:22" x14ac:dyDescent="0.25">
      <c r="A62">
        <v>50</v>
      </c>
      <c r="B62">
        <v>50</v>
      </c>
      <c r="C62">
        <v>9</v>
      </c>
      <c r="D62" t="s">
        <v>268</v>
      </c>
      <c r="E62" t="s">
        <v>235</v>
      </c>
      <c r="F62" t="str">
        <f t="shared" si="2"/>
        <v>9SOFAR</v>
      </c>
      <c r="I62" t="str">
        <f t="shared" si="4"/>
        <v>SOFAR 9KTLM-G3</v>
      </c>
      <c r="J62" t="s">
        <v>112</v>
      </c>
      <c r="K62" t="s">
        <v>269</v>
      </c>
      <c r="L62" s="34" t="s">
        <v>138</v>
      </c>
      <c r="M62" s="34" t="s">
        <v>239</v>
      </c>
      <c r="N62" s="34" t="s">
        <v>228</v>
      </c>
      <c r="O62" s="34" t="s">
        <v>240</v>
      </c>
      <c r="P62">
        <v>1</v>
      </c>
      <c r="Q62" s="34" t="s">
        <v>109</v>
      </c>
      <c r="R62" s="34" t="s">
        <v>109</v>
      </c>
      <c r="S62" s="13" t="s">
        <v>10</v>
      </c>
      <c r="T62" t="s">
        <v>241</v>
      </c>
    </row>
    <row r="63" spans="1:22" x14ac:dyDescent="0.25">
      <c r="A63">
        <v>60</v>
      </c>
      <c r="B63">
        <v>60</v>
      </c>
      <c r="C63">
        <v>9</v>
      </c>
      <c r="D63" t="s">
        <v>270</v>
      </c>
      <c r="E63" t="s">
        <v>189</v>
      </c>
      <c r="F63" t="str">
        <f t="shared" si="2"/>
        <v>9BYD</v>
      </c>
      <c r="I63" t="str">
        <f t="shared" si="4"/>
        <v>BYD-K-1P9K-2M</v>
      </c>
      <c r="J63" t="s">
        <v>112</v>
      </c>
      <c r="K63" t="s">
        <v>271</v>
      </c>
      <c r="L63" s="34" t="s">
        <v>114</v>
      </c>
      <c r="M63" s="34" t="s">
        <v>239</v>
      </c>
      <c r="N63" s="34" t="s">
        <v>228</v>
      </c>
      <c r="O63" s="34" t="s">
        <v>240</v>
      </c>
      <c r="P63">
        <v>1</v>
      </c>
      <c r="Q63" s="34" t="s">
        <v>109</v>
      </c>
      <c r="R63" s="34" t="s">
        <v>109</v>
      </c>
      <c r="S63" s="13" t="s">
        <v>10</v>
      </c>
      <c r="T63" t="s">
        <v>241</v>
      </c>
    </row>
    <row r="64" spans="1:22" x14ac:dyDescent="0.25">
      <c r="A64">
        <v>75</v>
      </c>
      <c r="B64">
        <v>75</v>
      </c>
      <c r="C64">
        <v>10</v>
      </c>
      <c r="D64" t="s">
        <v>272</v>
      </c>
      <c r="E64" t="s">
        <v>72</v>
      </c>
      <c r="F64" t="str">
        <f t="shared" si="2"/>
        <v>10SOLIS</v>
      </c>
      <c r="I64" t="str">
        <f t="shared" si="4"/>
        <v>SOLIS-1P10K-4G</v>
      </c>
      <c r="J64" t="s">
        <v>112</v>
      </c>
      <c r="K64" t="s">
        <v>273</v>
      </c>
      <c r="L64" s="34" t="s">
        <v>138</v>
      </c>
      <c r="M64" s="34" t="s">
        <v>239</v>
      </c>
      <c r="N64" s="34" t="s">
        <v>228</v>
      </c>
      <c r="O64" s="34" t="s">
        <v>240</v>
      </c>
      <c r="P64">
        <v>1</v>
      </c>
      <c r="Q64" s="34" t="s">
        <v>109</v>
      </c>
      <c r="R64" s="34" t="s">
        <v>109</v>
      </c>
      <c r="S64" s="13" t="s">
        <v>10</v>
      </c>
      <c r="T64" t="s">
        <v>241</v>
      </c>
    </row>
    <row r="65" spans="3:20" x14ac:dyDescent="0.25">
      <c r="C65">
        <v>10</v>
      </c>
      <c r="D65" t="s">
        <v>274</v>
      </c>
      <c r="E65" t="s">
        <v>236</v>
      </c>
      <c r="F65" t="str">
        <f t="shared" si="2"/>
        <v>10RENOVIGI</v>
      </c>
      <c r="I65" t="str">
        <f t="shared" si="4"/>
        <v>RENO-10-HC</v>
      </c>
      <c r="J65" t="s">
        <v>112</v>
      </c>
      <c r="K65" t="s">
        <v>273</v>
      </c>
      <c r="L65" s="34" t="s">
        <v>138</v>
      </c>
      <c r="M65" s="34" t="s">
        <v>239</v>
      </c>
      <c r="N65" s="34" t="s">
        <v>228</v>
      </c>
      <c r="O65" s="34" t="s">
        <v>240</v>
      </c>
      <c r="P65">
        <v>1</v>
      </c>
      <c r="Q65" s="34" t="s">
        <v>109</v>
      </c>
      <c r="R65" s="34" t="s">
        <v>109</v>
      </c>
      <c r="S65" s="13" t="s">
        <v>10</v>
      </c>
      <c r="T65" t="s">
        <v>241</v>
      </c>
    </row>
    <row r="66" spans="3:20" x14ac:dyDescent="0.25">
      <c r="C66">
        <v>10</v>
      </c>
      <c r="D66" s="24"/>
      <c r="E66" t="s">
        <v>189</v>
      </c>
      <c r="F66" t="str">
        <f t="shared" si="2"/>
        <v>10BYD</v>
      </c>
      <c r="I66">
        <f t="shared" si="4"/>
        <v>0</v>
      </c>
      <c r="J66" t="s">
        <v>112</v>
      </c>
      <c r="K66" t="s">
        <v>273</v>
      </c>
      <c r="L66" s="34" t="s">
        <v>138</v>
      </c>
      <c r="M66" s="34" t="s">
        <v>239</v>
      </c>
      <c r="N66" s="34" t="s">
        <v>228</v>
      </c>
      <c r="O66" s="34" t="s">
        <v>240</v>
      </c>
      <c r="P66">
        <v>1</v>
      </c>
      <c r="Q66" s="34" t="s">
        <v>109</v>
      </c>
      <c r="R66" s="34" t="s">
        <v>109</v>
      </c>
      <c r="S66" s="13" t="s">
        <v>10</v>
      </c>
      <c r="T66" t="s">
        <v>241</v>
      </c>
    </row>
    <row r="67" spans="3:20" x14ac:dyDescent="0.25">
      <c r="C67">
        <v>10.5</v>
      </c>
      <c r="D67" t="s">
        <v>275</v>
      </c>
      <c r="E67" t="s">
        <v>235</v>
      </c>
      <c r="F67" t="str">
        <f t="shared" si="2"/>
        <v>10,5SOFAR</v>
      </c>
      <c r="I67" t="str">
        <f t="shared" si="4"/>
        <v>SOFAR 10,5KTLM-G3</v>
      </c>
      <c r="J67" t="s">
        <v>112</v>
      </c>
      <c r="K67" t="s">
        <v>276</v>
      </c>
      <c r="L67" s="34" t="s">
        <v>138</v>
      </c>
      <c r="M67" s="34" t="s">
        <v>239</v>
      </c>
      <c r="N67" s="34" t="s">
        <v>228</v>
      </c>
      <c r="O67" s="34" t="s">
        <v>240</v>
      </c>
      <c r="P67">
        <v>1</v>
      </c>
      <c r="Q67" s="34" t="s">
        <v>109</v>
      </c>
      <c r="R67" s="34" t="s">
        <v>109</v>
      </c>
      <c r="S67" s="13" t="s">
        <v>10</v>
      </c>
      <c r="T67" t="s">
        <v>241</v>
      </c>
    </row>
    <row r="68" spans="3:20" x14ac:dyDescent="0.25">
      <c r="C68">
        <v>12</v>
      </c>
      <c r="D68" t="s">
        <v>277</v>
      </c>
      <c r="E68" t="s">
        <v>235</v>
      </c>
      <c r="F68" t="str">
        <f t="shared" si="2"/>
        <v>12SOFAR</v>
      </c>
      <c r="I68" t="str">
        <f t="shared" si="4"/>
        <v>SOFAR 12KTL-X</v>
      </c>
      <c r="J68" t="s">
        <v>151</v>
      </c>
      <c r="K68" t="s">
        <v>278</v>
      </c>
      <c r="L68" s="34" t="s">
        <v>233</v>
      </c>
      <c r="M68" s="34" t="s">
        <v>227</v>
      </c>
      <c r="N68" s="34" t="s">
        <v>228</v>
      </c>
      <c r="O68" s="34" t="s">
        <v>279</v>
      </c>
      <c r="P68">
        <v>1</v>
      </c>
      <c r="Q68" s="34" t="s">
        <v>230</v>
      </c>
      <c r="R68" s="34" t="s">
        <v>231</v>
      </c>
      <c r="S68" s="13" t="s">
        <v>10</v>
      </c>
      <c r="T68" t="s">
        <v>232</v>
      </c>
    </row>
    <row r="69" spans="3:20" x14ac:dyDescent="0.25">
      <c r="C69">
        <v>12</v>
      </c>
      <c r="D69" s="24"/>
      <c r="E69" t="s">
        <v>189</v>
      </c>
      <c r="F69" t="str">
        <f t="shared" si="2"/>
        <v>12BYD</v>
      </c>
      <c r="I69">
        <f t="shared" si="4"/>
        <v>0</v>
      </c>
      <c r="J69" t="s">
        <v>151</v>
      </c>
      <c r="K69" t="s">
        <v>278</v>
      </c>
      <c r="L69" s="34" t="s">
        <v>233</v>
      </c>
      <c r="M69" s="34" t="s">
        <v>227</v>
      </c>
      <c r="N69" s="34" t="s">
        <v>228</v>
      </c>
      <c r="O69" s="34" t="s">
        <v>279</v>
      </c>
      <c r="P69">
        <v>1</v>
      </c>
      <c r="Q69" s="34" t="s">
        <v>230</v>
      </c>
      <c r="R69" s="34" t="s">
        <v>231</v>
      </c>
      <c r="S69" s="13" t="s">
        <v>10</v>
      </c>
      <c r="T69" t="s">
        <v>232</v>
      </c>
    </row>
    <row r="70" spans="3:20" x14ac:dyDescent="0.25">
      <c r="C70">
        <v>15</v>
      </c>
      <c r="D70" t="s">
        <v>280</v>
      </c>
      <c r="E70" t="s">
        <v>235</v>
      </c>
      <c r="F70" t="str">
        <f t="shared" si="2"/>
        <v>15SOFAR</v>
      </c>
      <c r="I70" t="str">
        <f t="shared" si="4"/>
        <v>SOFAR 15KTL-G2</v>
      </c>
      <c r="J70" t="s">
        <v>151</v>
      </c>
      <c r="K70" t="s">
        <v>281</v>
      </c>
      <c r="L70" s="34" t="s">
        <v>242</v>
      </c>
      <c r="M70" s="34" t="s">
        <v>227</v>
      </c>
      <c r="N70" s="34" t="s">
        <v>228</v>
      </c>
      <c r="O70" s="34" t="s">
        <v>279</v>
      </c>
      <c r="P70">
        <v>1</v>
      </c>
      <c r="Q70" s="34" t="s">
        <v>230</v>
      </c>
      <c r="R70" s="34" t="s">
        <v>231</v>
      </c>
      <c r="S70" s="13" t="s">
        <v>10</v>
      </c>
      <c r="T70" t="s">
        <v>232</v>
      </c>
    </row>
    <row r="71" spans="3:20" x14ac:dyDescent="0.25">
      <c r="C71">
        <v>15</v>
      </c>
      <c r="D71" t="s">
        <v>282</v>
      </c>
      <c r="E71" t="s">
        <v>72</v>
      </c>
      <c r="F71" t="str">
        <f t="shared" si="2"/>
        <v>15SOLIS</v>
      </c>
      <c r="I71" t="str">
        <f t="shared" si="4"/>
        <v>S5-GR3P15K</v>
      </c>
      <c r="J71" t="s">
        <v>151</v>
      </c>
      <c r="K71" t="s">
        <v>283</v>
      </c>
      <c r="L71" s="34" t="s">
        <v>242</v>
      </c>
      <c r="M71" s="34" t="s">
        <v>227</v>
      </c>
      <c r="N71" s="34" t="s">
        <v>228</v>
      </c>
      <c r="O71" s="34" t="s">
        <v>279</v>
      </c>
      <c r="P71">
        <v>1</v>
      </c>
      <c r="Q71" s="34" t="s">
        <v>230</v>
      </c>
      <c r="R71" s="34" t="s">
        <v>231</v>
      </c>
      <c r="S71" s="13" t="s">
        <v>10</v>
      </c>
      <c r="T71" t="s">
        <v>232</v>
      </c>
    </row>
    <row r="72" spans="3:20" x14ac:dyDescent="0.25">
      <c r="C72">
        <v>15</v>
      </c>
      <c r="D72" t="s">
        <v>284</v>
      </c>
      <c r="E72" t="s">
        <v>236</v>
      </c>
      <c r="F72" t="str">
        <f t="shared" si="2"/>
        <v>15RENOVIGI</v>
      </c>
      <c r="I72" t="str">
        <f t="shared" si="4"/>
        <v>RENO-15K-HC</v>
      </c>
      <c r="J72" t="s">
        <v>151</v>
      </c>
      <c r="K72" t="s">
        <v>283</v>
      </c>
      <c r="L72" s="34" t="s">
        <v>242</v>
      </c>
      <c r="M72" s="34" t="s">
        <v>227</v>
      </c>
      <c r="N72" s="34" t="s">
        <v>228</v>
      </c>
      <c r="O72" s="34" t="s">
        <v>279</v>
      </c>
      <c r="P72">
        <v>1</v>
      </c>
      <c r="Q72" s="34" t="s">
        <v>230</v>
      </c>
      <c r="R72" s="34" t="s">
        <v>231</v>
      </c>
      <c r="S72" s="13" t="s">
        <v>10</v>
      </c>
      <c r="T72" t="s">
        <v>232</v>
      </c>
    </row>
    <row r="73" spans="3:20" x14ac:dyDescent="0.25">
      <c r="C73">
        <v>15</v>
      </c>
      <c r="D73" s="24"/>
      <c r="E73" t="s">
        <v>189</v>
      </c>
      <c r="F73" t="str">
        <f t="shared" si="2"/>
        <v>15BYD</v>
      </c>
      <c r="I73">
        <f t="shared" si="4"/>
        <v>0</v>
      </c>
      <c r="J73" t="s">
        <v>151</v>
      </c>
      <c r="K73" t="s">
        <v>283</v>
      </c>
      <c r="L73" s="34" t="s">
        <v>242</v>
      </c>
      <c r="M73" s="34" t="s">
        <v>227</v>
      </c>
      <c r="N73" s="34" t="s">
        <v>228</v>
      </c>
      <c r="O73" s="34" t="s">
        <v>279</v>
      </c>
      <c r="P73">
        <v>1</v>
      </c>
      <c r="Q73" s="34" t="s">
        <v>230</v>
      </c>
      <c r="R73" s="34" t="s">
        <v>231</v>
      </c>
      <c r="S73" s="13" t="s">
        <v>10</v>
      </c>
      <c r="T73" t="s">
        <v>232</v>
      </c>
    </row>
    <row r="74" spans="3:20" x14ac:dyDescent="0.25">
      <c r="C74">
        <v>20</v>
      </c>
      <c r="D74" t="s">
        <v>285</v>
      </c>
      <c r="E74" t="s">
        <v>235</v>
      </c>
      <c r="F74" t="str">
        <f t="shared" si="2"/>
        <v>20SOFAR</v>
      </c>
      <c r="I74" t="str">
        <f t="shared" si="4"/>
        <v>SOFAR 20KTL-G2</v>
      </c>
      <c r="J74" t="s">
        <v>151</v>
      </c>
      <c r="K74" t="s">
        <v>286</v>
      </c>
      <c r="L74" s="34" t="s">
        <v>123</v>
      </c>
      <c r="M74" s="34" t="s">
        <v>227</v>
      </c>
      <c r="N74" s="34" t="s">
        <v>228</v>
      </c>
      <c r="O74" s="34" t="s">
        <v>279</v>
      </c>
      <c r="P74">
        <v>1</v>
      </c>
      <c r="Q74" s="34" t="s">
        <v>231</v>
      </c>
      <c r="R74" s="34" t="s">
        <v>231</v>
      </c>
      <c r="S74" s="13" t="s">
        <v>10</v>
      </c>
      <c r="T74" t="s">
        <v>232</v>
      </c>
    </row>
    <row r="75" spans="3:20" x14ac:dyDescent="0.25">
      <c r="C75">
        <v>20</v>
      </c>
      <c r="D75" t="s">
        <v>287</v>
      </c>
      <c r="E75" t="s">
        <v>72</v>
      </c>
      <c r="F75" t="str">
        <f t="shared" ref="F75:F99" si="5">CONCATENATE(C75,E75)</f>
        <v>20SOLIS</v>
      </c>
      <c r="I75" t="str">
        <f t="shared" si="4"/>
        <v>S5-GR3P20K</v>
      </c>
      <c r="J75" t="s">
        <v>151</v>
      </c>
      <c r="K75" t="s">
        <v>288</v>
      </c>
      <c r="L75" s="34" t="s">
        <v>123</v>
      </c>
      <c r="M75" s="34" t="s">
        <v>227</v>
      </c>
      <c r="N75" s="34" t="s">
        <v>228</v>
      </c>
      <c r="O75" s="34" t="s">
        <v>279</v>
      </c>
      <c r="P75">
        <v>1</v>
      </c>
      <c r="Q75" s="34" t="s">
        <v>231</v>
      </c>
      <c r="R75" s="34" t="s">
        <v>231</v>
      </c>
      <c r="S75" s="13" t="s">
        <v>10</v>
      </c>
      <c r="T75" t="s">
        <v>232</v>
      </c>
    </row>
    <row r="76" spans="3:20" x14ac:dyDescent="0.25">
      <c r="C76">
        <v>20</v>
      </c>
      <c r="D76" t="s">
        <v>289</v>
      </c>
      <c r="E76" t="s">
        <v>236</v>
      </c>
      <c r="F76" t="str">
        <f t="shared" si="5"/>
        <v>20RENOVIGI</v>
      </c>
      <c r="I76" t="str">
        <f t="shared" si="4"/>
        <v>RENO-20K-HC</v>
      </c>
      <c r="J76" t="s">
        <v>151</v>
      </c>
      <c r="K76" t="s">
        <v>288</v>
      </c>
      <c r="L76" s="34" t="s">
        <v>123</v>
      </c>
      <c r="M76" s="34" t="s">
        <v>227</v>
      </c>
      <c r="N76" s="34" t="s">
        <v>228</v>
      </c>
      <c r="O76" s="34" t="s">
        <v>279</v>
      </c>
      <c r="P76">
        <v>1</v>
      </c>
      <c r="Q76" s="34" t="s">
        <v>231</v>
      </c>
      <c r="R76" s="34" t="s">
        <v>231</v>
      </c>
      <c r="S76" s="13" t="s">
        <v>10</v>
      </c>
      <c r="T76" t="s">
        <v>232</v>
      </c>
    </row>
    <row r="77" spans="3:20" x14ac:dyDescent="0.25">
      <c r="C77">
        <v>20</v>
      </c>
      <c r="D77" s="24"/>
      <c r="E77" t="s">
        <v>189</v>
      </c>
      <c r="F77" t="str">
        <f t="shared" si="5"/>
        <v>20BYD</v>
      </c>
      <c r="I77">
        <f t="shared" si="4"/>
        <v>0</v>
      </c>
      <c r="J77" t="s">
        <v>151</v>
      </c>
      <c r="K77" t="e">
        <f>VLOOKUP(D77,D117:E118,2,FALSE)</f>
        <v>#N/A</v>
      </c>
      <c r="L77" s="34" t="s">
        <v>123</v>
      </c>
      <c r="M77" s="34" t="s">
        <v>227</v>
      </c>
      <c r="N77" s="34" t="s">
        <v>228</v>
      </c>
      <c r="O77" s="34" t="s">
        <v>279</v>
      </c>
      <c r="P77">
        <v>1</v>
      </c>
      <c r="Q77" s="34" t="s">
        <v>231</v>
      </c>
      <c r="R77" s="34" t="s">
        <v>231</v>
      </c>
      <c r="S77" s="13" t="s">
        <v>10</v>
      </c>
      <c r="T77" t="s">
        <v>232</v>
      </c>
    </row>
    <row r="78" spans="3:20" x14ac:dyDescent="0.25">
      <c r="C78">
        <v>25</v>
      </c>
      <c r="D78" t="s">
        <v>290</v>
      </c>
      <c r="E78" t="s">
        <v>235</v>
      </c>
      <c r="F78" t="str">
        <f t="shared" si="5"/>
        <v>25SOFAR</v>
      </c>
      <c r="I78" t="str">
        <f t="shared" si="4"/>
        <v>SOFAR 25KTLX-G3</v>
      </c>
      <c r="J78" t="s">
        <v>151</v>
      </c>
      <c r="K78" t="s">
        <v>291</v>
      </c>
      <c r="L78" s="34" t="s">
        <v>114</v>
      </c>
      <c r="M78" s="34" t="s">
        <v>227</v>
      </c>
      <c r="N78" s="34" t="s">
        <v>228</v>
      </c>
      <c r="O78" s="34" t="s">
        <v>279</v>
      </c>
      <c r="P78">
        <v>1</v>
      </c>
      <c r="Q78" s="34" t="s">
        <v>109</v>
      </c>
      <c r="R78" s="34" t="s">
        <v>109</v>
      </c>
      <c r="S78" s="13" t="s">
        <v>10</v>
      </c>
      <c r="T78" t="s">
        <v>232</v>
      </c>
    </row>
    <row r="79" spans="3:20" x14ac:dyDescent="0.25">
      <c r="C79">
        <v>25</v>
      </c>
      <c r="D79" s="24"/>
      <c r="E79" t="s">
        <v>189</v>
      </c>
      <c r="F79" t="str">
        <f t="shared" si="5"/>
        <v>25BYD</v>
      </c>
      <c r="I79">
        <f t="shared" si="4"/>
        <v>0</v>
      </c>
      <c r="J79" t="s">
        <v>151</v>
      </c>
      <c r="K79" t="e">
        <f>VLOOKUP(D79,D119:E120,2,FALSE)</f>
        <v>#N/A</v>
      </c>
      <c r="L79" t="e">
        <f>VLOOKUP(K79,E119:F120,2,FALSE)</f>
        <v>#N/A</v>
      </c>
      <c r="M79" s="34" t="s">
        <v>227</v>
      </c>
      <c r="N79" s="34" t="s">
        <v>228</v>
      </c>
      <c r="O79" s="34" t="s">
        <v>279</v>
      </c>
      <c r="P79">
        <v>1</v>
      </c>
      <c r="Q79" t="e">
        <f>VLOOKUP(L79,F119:G120,2,FALSE)</f>
        <v>#N/A</v>
      </c>
      <c r="R79" t="e">
        <f>VLOOKUP(L79,F119:G120,2,FALSE)</f>
        <v>#N/A</v>
      </c>
      <c r="S79" s="13" t="s">
        <v>10</v>
      </c>
      <c r="T79" t="s">
        <v>232</v>
      </c>
    </row>
    <row r="80" spans="3:20" x14ac:dyDescent="0.25">
      <c r="C80">
        <v>30</v>
      </c>
      <c r="D80" t="s">
        <v>292</v>
      </c>
      <c r="E80" t="s">
        <v>235</v>
      </c>
      <c r="F80" t="str">
        <f t="shared" si="5"/>
        <v>30SOFAR</v>
      </c>
      <c r="I80" t="str">
        <f t="shared" si="4"/>
        <v>SOFAR 30KTL-G2</v>
      </c>
      <c r="J80" t="s">
        <v>151</v>
      </c>
      <c r="K80" t="s">
        <v>293</v>
      </c>
      <c r="L80" s="34" t="s">
        <v>138</v>
      </c>
      <c r="M80" s="34" t="s">
        <v>227</v>
      </c>
      <c r="N80" s="34" t="s">
        <v>228</v>
      </c>
      <c r="O80" s="34" t="s">
        <v>279</v>
      </c>
      <c r="P80">
        <v>1</v>
      </c>
      <c r="Q80" s="34" t="s">
        <v>109</v>
      </c>
      <c r="R80" s="34" t="s">
        <v>109</v>
      </c>
      <c r="S80" s="13" t="s">
        <v>10</v>
      </c>
      <c r="T80" t="s">
        <v>232</v>
      </c>
    </row>
    <row r="81" spans="3:20" x14ac:dyDescent="0.25">
      <c r="C81">
        <v>30</v>
      </c>
      <c r="D81" t="s">
        <v>294</v>
      </c>
      <c r="E81" t="s">
        <v>72</v>
      </c>
      <c r="F81" t="str">
        <f t="shared" si="5"/>
        <v>30SOLIS</v>
      </c>
      <c r="I81" t="str">
        <f t="shared" si="4"/>
        <v>S5-GC30K</v>
      </c>
      <c r="J81" t="s">
        <v>151</v>
      </c>
      <c r="K81" t="s">
        <v>295</v>
      </c>
      <c r="L81" s="34" t="s">
        <v>130</v>
      </c>
      <c r="M81" s="34" t="s">
        <v>227</v>
      </c>
      <c r="N81" s="34" t="s">
        <v>228</v>
      </c>
      <c r="O81" s="34" t="s">
        <v>279</v>
      </c>
      <c r="P81">
        <v>1</v>
      </c>
      <c r="Q81" s="34" t="s">
        <v>143</v>
      </c>
      <c r="R81" s="34" t="s">
        <v>143</v>
      </c>
      <c r="S81" s="4" t="s">
        <v>19</v>
      </c>
      <c r="T81" t="s">
        <v>232</v>
      </c>
    </row>
    <row r="82" spans="3:20" x14ac:dyDescent="0.25">
      <c r="C82">
        <v>30</v>
      </c>
      <c r="D82" t="s">
        <v>296</v>
      </c>
      <c r="E82" t="s">
        <v>236</v>
      </c>
      <c r="F82" t="str">
        <f t="shared" si="5"/>
        <v>30RENOVIGI</v>
      </c>
      <c r="I82" t="str">
        <f t="shared" si="4"/>
        <v>RENO-30K-NG-HC</v>
      </c>
      <c r="J82" t="s">
        <v>151</v>
      </c>
      <c r="K82" t="s">
        <v>295</v>
      </c>
      <c r="L82" s="34" t="s">
        <v>130</v>
      </c>
      <c r="M82" s="34" t="s">
        <v>227</v>
      </c>
      <c r="N82" s="34" t="s">
        <v>228</v>
      </c>
      <c r="O82" s="34" t="s">
        <v>279</v>
      </c>
      <c r="P82">
        <v>1</v>
      </c>
      <c r="Q82" s="34" t="s">
        <v>143</v>
      </c>
      <c r="R82" s="34" t="s">
        <v>143</v>
      </c>
      <c r="S82" s="4" t="s">
        <v>19</v>
      </c>
      <c r="T82" t="s">
        <v>232</v>
      </c>
    </row>
    <row r="83" spans="3:20" x14ac:dyDescent="0.25">
      <c r="C83">
        <v>30</v>
      </c>
      <c r="D83" s="24"/>
      <c r="E83" t="s">
        <v>189</v>
      </c>
      <c r="F83" t="str">
        <f t="shared" si="5"/>
        <v>30BYD</v>
      </c>
      <c r="I83">
        <f t="shared" si="4"/>
        <v>0</v>
      </c>
      <c r="J83" t="s">
        <v>151</v>
      </c>
      <c r="K83" t="e">
        <f>VLOOKUP(D83,D121:E122,2,FALSE)</f>
        <v>#N/A</v>
      </c>
      <c r="L83" t="e">
        <f>VLOOKUP(K83,E121:F122,2,FALSE)</f>
        <v>#N/A</v>
      </c>
      <c r="M83" s="34" t="s">
        <v>227</v>
      </c>
      <c r="N83" s="34" t="s">
        <v>228</v>
      </c>
      <c r="O83" s="34" t="s">
        <v>279</v>
      </c>
      <c r="P83">
        <v>1</v>
      </c>
      <c r="Q83" s="34" t="s">
        <v>109</v>
      </c>
      <c r="R83" s="34" t="s">
        <v>109</v>
      </c>
      <c r="S83" s="13" t="s">
        <v>10</v>
      </c>
      <c r="T83" t="s">
        <v>232</v>
      </c>
    </row>
    <row r="84" spans="3:20" x14ac:dyDescent="0.25">
      <c r="C84">
        <v>33</v>
      </c>
      <c r="D84" t="s">
        <v>297</v>
      </c>
      <c r="E84" t="s">
        <v>235</v>
      </c>
      <c r="F84" t="str">
        <f t="shared" si="5"/>
        <v>33SOFAR</v>
      </c>
      <c r="I84" t="str">
        <f t="shared" si="4"/>
        <v>SOFAR 33KTL-G2</v>
      </c>
      <c r="J84" t="s">
        <v>151</v>
      </c>
      <c r="K84" t="s">
        <v>298</v>
      </c>
      <c r="L84" s="34" t="s">
        <v>130</v>
      </c>
      <c r="M84" s="34" t="s">
        <v>227</v>
      </c>
      <c r="N84" s="34" t="s">
        <v>228</v>
      </c>
      <c r="O84" s="34" t="s">
        <v>279</v>
      </c>
      <c r="P84">
        <v>1</v>
      </c>
      <c r="Q84" s="34" t="s">
        <v>143</v>
      </c>
      <c r="R84" s="34" t="s">
        <v>143</v>
      </c>
      <c r="S84" s="4" t="s">
        <v>19</v>
      </c>
      <c r="T84" t="s">
        <v>232</v>
      </c>
    </row>
    <row r="85" spans="3:20" x14ac:dyDescent="0.25">
      <c r="C85">
        <v>36</v>
      </c>
      <c r="D85" t="s">
        <v>299</v>
      </c>
      <c r="E85" t="s">
        <v>189</v>
      </c>
      <c r="F85" t="str">
        <f t="shared" si="5"/>
        <v>36BYD</v>
      </c>
      <c r="I85" t="str">
        <f t="shared" si="4"/>
        <v>BYD-K-3P36K-3M</v>
      </c>
      <c r="J85" t="s">
        <v>151</v>
      </c>
      <c r="K85" t="s">
        <v>300</v>
      </c>
      <c r="L85" s="34" t="s">
        <v>130</v>
      </c>
      <c r="M85" s="34" t="s">
        <v>227</v>
      </c>
      <c r="N85" s="34" t="s">
        <v>228</v>
      </c>
      <c r="O85" s="34" t="s">
        <v>279</v>
      </c>
      <c r="P85">
        <v>1</v>
      </c>
      <c r="Q85" s="34" t="s">
        <v>143</v>
      </c>
      <c r="R85" s="34" t="s">
        <v>143</v>
      </c>
      <c r="S85" s="4" t="s">
        <v>19</v>
      </c>
      <c r="T85" t="s">
        <v>232</v>
      </c>
    </row>
    <row r="86" spans="3:20" x14ac:dyDescent="0.25">
      <c r="C86">
        <v>40</v>
      </c>
      <c r="D86" t="s">
        <v>301</v>
      </c>
      <c r="E86" t="s">
        <v>72</v>
      </c>
      <c r="F86" t="str">
        <f t="shared" si="5"/>
        <v>40SOLIS</v>
      </c>
      <c r="I86" t="str">
        <f t="shared" si="4"/>
        <v>S5-GC40K</v>
      </c>
      <c r="J86" t="s">
        <v>151</v>
      </c>
      <c r="K86" t="s">
        <v>302</v>
      </c>
      <c r="L86" s="34" t="s">
        <v>147</v>
      </c>
      <c r="M86" s="34" t="s">
        <v>227</v>
      </c>
      <c r="N86" s="34" t="s">
        <v>303</v>
      </c>
      <c r="O86" s="34" t="s">
        <v>279</v>
      </c>
      <c r="P86">
        <v>3</v>
      </c>
      <c r="Q86" s="34" t="s">
        <v>146</v>
      </c>
      <c r="R86" s="34" t="s">
        <v>143</v>
      </c>
      <c r="S86" s="4" t="s">
        <v>19</v>
      </c>
      <c r="T86" t="s">
        <v>232</v>
      </c>
    </row>
    <row r="87" spans="3:20" x14ac:dyDescent="0.25">
      <c r="C87">
        <v>40</v>
      </c>
      <c r="D87" t="s">
        <v>304</v>
      </c>
      <c r="E87" t="s">
        <v>236</v>
      </c>
      <c r="F87" t="str">
        <f t="shared" si="5"/>
        <v>40RENOVIGI</v>
      </c>
      <c r="I87" t="str">
        <f t="shared" si="4"/>
        <v>RENO-40K-NG-HC</v>
      </c>
      <c r="J87" t="s">
        <v>151</v>
      </c>
      <c r="K87" t="s">
        <v>302</v>
      </c>
      <c r="L87" s="34" t="s">
        <v>147</v>
      </c>
      <c r="M87" s="34" t="s">
        <v>227</v>
      </c>
      <c r="N87" s="34" t="s">
        <v>303</v>
      </c>
      <c r="O87" s="34" t="s">
        <v>279</v>
      </c>
      <c r="P87">
        <v>3</v>
      </c>
      <c r="Q87" s="34" t="s">
        <v>146</v>
      </c>
      <c r="R87" s="34" t="s">
        <v>143</v>
      </c>
      <c r="S87" s="4" t="s">
        <v>19</v>
      </c>
      <c r="T87" t="s">
        <v>232</v>
      </c>
    </row>
    <row r="88" spans="3:20" x14ac:dyDescent="0.25">
      <c r="C88">
        <v>40</v>
      </c>
      <c r="D88" s="24"/>
      <c r="E88" t="s">
        <v>189</v>
      </c>
      <c r="F88" t="str">
        <f t="shared" si="5"/>
        <v>40BYD</v>
      </c>
      <c r="I88">
        <f t="shared" si="4"/>
        <v>0</v>
      </c>
      <c r="J88" t="s">
        <v>151</v>
      </c>
      <c r="K88" t="e">
        <f>VLOOKUP(D88,D124:E125,2,FALSE)</f>
        <v>#N/A</v>
      </c>
      <c r="L88" s="34" t="s">
        <v>147</v>
      </c>
      <c r="M88" s="34" t="s">
        <v>227</v>
      </c>
      <c r="N88" s="34" t="s">
        <v>303</v>
      </c>
      <c r="O88" s="34" t="s">
        <v>279</v>
      </c>
      <c r="P88">
        <v>3</v>
      </c>
      <c r="Q88" s="34" t="s">
        <v>146</v>
      </c>
      <c r="R88" s="34" t="s">
        <v>143</v>
      </c>
      <c r="S88" s="4" t="s">
        <v>19</v>
      </c>
      <c r="T88" t="s">
        <v>232</v>
      </c>
    </row>
    <row r="89" spans="3:20" x14ac:dyDescent="0.25">
      <c r="C89">
        <v>50</v>
      </c>
      <c r="D89" t="s">
        <v>305</v>
      </c>
      <c r="E89" t="s">
        <v>235</v>
      </c>
      <c r="F89" t="str">
        <f t="shared" si="5"/>
        <v>50SOFAR</v>
      </c>
      <c r="I89" t="str">
        <f t="shared" si="4"/>
        <v>SOFAR 50KTL</v>
      </c>
      <c r="J89" t="s">
        <v>151</v>
      </c>
      <c r="K89" t="s">
        <v>306</v>
      </c>
      <c r="L89" s="34" t="s">
        <v>158</v>
      </c>
      <c r="M89" s="34" t="s">
        <v>227</v>
      </c>
      <c r="N89" s="34" t="s">
        <v>303</v>
      </c>
      <c r="O89" s="34" t="s">
        <v>279</v>
      </c>
      <c r="P89">
        <v>3</v>
      </c>
      <c r="Q89" s="34" t="s">
        <v>146</v>
      </c>
      <c r="R89" s="34" t="s">
        <v>143</v>
      </c>
      <c r="S89" s="4" t="s">
        <v>19</v>
      </c>
      <c r="T89" t="s">
        <v>232</v>
      </c>
    </row>
    <row r="90" spans="3:20" x14ac:dyDescent="0.25">
      <c r="C90">
        <v>50</v>
      </c>
      <c r="D90" t="s">
        <v>307</v>
      </c>
      <c r="E90" t="s">
        <v>72</v>
      </c>
      <c r="F90" t="str">
        <f t="shared" si="5"/>
        <v>50SOLIS</v>
      </c>
      <c r="I90" t="str">
        <f t="shared" si="4"/>
        <v>SOLIS-50K</v>
      </c>
      <c r="J90" t="s">
        <v>151</v>
      </c>
      <c r="K90" t="s">
        <v>308</v>
      </c>
      <c r="L90" s="34" t="s">
        <v>162</v>
      </c>
      <c r="M90" s="34" t="s">
        <v>227</v>
      </c>
      <c r="N90" s="34" t="s">
        <v>303</v>
      </c>
      <c r="O90" s="34" t="s">
        <v>279</v>
      </c>
      <c r="P90">
        <v>3</v>
      </c>
      <c r="Q90" s="34" t="s">
        <v>176</v>
      </c>
      <c r="R90" s="34" t="s">
        <v>143</v>
      </c>
      <c r="S90" s="4" t="s">
        <v>19</v>
      </c>
      <c r="T90" t="s">
        <v>232</v>
      </c>
    </row>
    <row r="91" spans="3:20" x14ac:dyDescent="0.25">
      <c r="C91">
        <v>50</v>
      </c>
      <c r="D91" t="s">
        <v>309</v>
      </c>
      <c r="E91" t="s">
        <v>236</v>
      </c>
      <c r="F91" t="str">
        <f t="shared" si="5"/>
        <v>50RENOVIGI</v>
      </c>
      <c r="I91" t="str">
        <f t="shared" si="4"/>
        <v>RENO 50K</v>
      </c>
      <c r="J91" t="s">
        <v>151</v>
      </c>
      <c r="K91" t="s">
        <v>308</v>
      </c>
      <c r="L91" s="34" t="s">
        <v>162</v>
      </c>
      <c r="M91" s="34" t="s">
        <v>227</v>
      </c>
      <c r="N91" s="34" t="s">
        <v>303</v>
      </c>
      <c r="O91" s="34" t="s">
        <v>279</v>
      </c>
      <c r="P91">
        <v>3</v>
      </c>
      <c r="Q91" s="34" t="s">
        <v>176</v>
      </c>
      <c r="R91" s="34" t="s">
        <v>143</v>
      </c>
      <c r="S91" s="4" t="s">
        <v>19</v>
      </c>
      <c r="T91" t="s">
        <v>232</v>
      </c>
    </row>
    <row r="92" spans="3:20" x14ac:dyDescent="0.25">
      <c r="C92">
        <v>50</v>
      </c>
      <c r="D92" s="24"/>
      <c r="E92" t="s">
        <v>189</v>
      </c>
      <c r="F92" t="str">
        <f t="shared" si="5"/>
        <v>50BYD</v>
      </c>
      <c r="I92">
        <f t="shared" si="4"/>
        <v>0</v>
      </c>
      <c r="J92" t="s">
        <v>151</v>
      </c>
      <c r="K92" t="e">
        <f>VLOOKUP(D92,D126:E127,2,FALSE)</f>
        <v>#N/A</v>
      </c>
      <c r="L92" t="e">
        <f>VLOOKUP(K92,E126:F127,2,FALSE)</f>
        <v>#N/A</v>
      </c>
      <c r="M92" s="34" t="s">
        <v>227</v>
      </c>
      <c r="N92" s="34" t="s">
        <v>303</v>
      </c>
      <c r="O92" s="34" t="s">
        <v>279</v>
      </c>
      <c r="P92">
        <v>3</v>
      </c>
      <c r="Q92" t="e">
        <f>VLOOKUP(L92,F126:G127,2,FALSE)</f>
        <v>#N/A</v>
      </c>
      <c r="R92" s="34" t="s">
        <v>143</v>
      </c>
      <c r="S92" s="4" t="s">
        <v>19</v>
      </c>
      <c r="T92" t="s">
        <v>232</v>
      </c>
    </row>
    <row r="93" spans="3:20" x14ac:dyDescent="0.25">
      <c r="C93">
        <v>60</v>
      </c>
      <c r="D93" t="s">
        <v>310</v>
      </c>
      <c r="E93" t="s">
        <v>72</v>
      </c>
      <c r="F93" t="str">
        <f t="shared" si="5"/>
        <v>60SOLIS</v>
      </c>
      <c r="I93" t="str">
        <f t="shared" si="4"/>
        <v>SOLIS-60K-4G</v>
      </c>
      <c r="J93" t="s">
        <v>151</v>
      </c>
      <c r="K93" t="s">
        <v>311</v>
      </c>
      <c r="L93" s="34" t="s">
        <v>162</v>
      </c>
      <c r="M93" s="34" t="s">
        <v>227</v>
      </c>
      <c r="N93" s="34" t="s">
        <v>303</v>
      </c>
      <c r="O93" s="34" t="s">
        <v>279</v>
      </c>
      <c r="P93">
        <v>3</v>
      </c>
      <c r="Q93" s="34" t="s">
        <v>176</v>
      </c>
      <c r="R93" s="34" t="s">
        <v>143</v>
      </c>
      <c r="S93" s="4" t="s">
        <v>19</v>
      </c>
      <c r="T93" t="s">
        <v>232</v>
      </c>
    </row>
    <row r="94" spans="3:20" x14ac:dyDescent="0.25">
      <c r="C94">
        <v>60</v>
      </c>
      <c r="D94" t="s">
        <v>312</v>
      </c>
      <c r="E94" t="s">
        <v>236</v>
      </c>
      <c r="F94" t="str">
        <f t="shared" si="5"/>
        <v>60RENOVIGI</v>
      </c>
      <c r="I94" t="str">
        <f t="shared" si="4"/>
        <v>RENO 60K</v>
      </c>
      <c r="J94" t="s">
        <v>151</v>
      </c>
      <c r="K94" t="s">
        <v>311</v>
      </c>
      <c r="L94" s="34" t="s">
        <v>162</v>
      </c>
      <c r="M94" s="34" t="s">
        <v>227</v>
      </c>
      <c r="N94" s="34" t="s">
        <v>303</v>
      </c>
      <c r="O94" s="34" t="s">
        <v>279</v>
      </c>
      <c r="P94">
        <v>3</v>
      </c>
      <c r="Q94" s="34" t="s">
        <v>176</v>
      </c>
      <c r="R94" s="34" t="s">
        <v>143</v>
      </c>
      <c r="S94" s="4" t="s">
        <v>19</v>
      </c>
      <c r="T94" t="s">
        <v>232</v>
      </c>
    </row>
    <row r="95" spans="3:20" x14ac:dyDescent="0.25">
      <c r="C95">
        <v>60</v>
      </c>
      <c r="D95" s="24"/>
      <c r="E95" t="s">
        <v>189</v>
      </c>
      <c r="F95" t="str">
        <f t="shared" si="5"/>
        <v>60BYD</v>
      </c>
      <c r="I95">
        <f t="shared" si="4"/>
        <v>0</v>
      </c>
      <c r="J95" t="s">
        <v>151</v>
      </c>
      <c r="K95" t="e">
        <f>VLOOKUP(D95,D128:E129,2,FALSE)</f>
        <v>#N/A</v>
      </c>
      <c r="L95" s="34" t="s">
        <v>162</v>
      </c>
      <c r="M95" s="34" t="s">
        <v>227</v>
      </c>
      <c r="N95" s="34" t="s">
        <v>303</v>
      </c>
      <c r="O95" s="34" t="s">
        <v>279</v>
      </c>
      <c r="P95">
        <v>3</v>
      </c>
      <c r="Q95" s="34" t="s">
        <v>176</v>
      </c>
      <c r="R95" s="34" t="s">
        <v>143</v>
      </c>
      <c r="S95" s="4" t="s">
        <v>19</v>
      </c>
      <c r="T95" t="s">
        <v>232</v>
      </c>
    </row>
    <row r="96" spans="3:20" x14ac:dyDescent="0.25">
      <c r="C96">
        <v>75</v>
      </c>
      <c r="D96" t="s">
        <v>313</v>
      </c>
      <c r="E96" t="s">
        <v>235</v>
      </c>
      <c r="F96" t="str">
        <f t="shared" si="5"/>
        <v>75SOFAR</v>
      </c>
      <c r="I96" t="str">
        <f t="shared" si="4"/>
        <v>SOFAR 75KTL</v>
      </c>
      <c r="J96" t="s">
        <v>151</v>
      </c>
      <c r="K96" t="s">
        <v>314</v>
      </c>
      <c r="L96" s="34" t="s">
        <v>166</v>
      </c>
      <c r="M96" s="34" t="s">
        <v>227</v>
      </c>
      <c r="N96" s="34" t="s">
        <v>303</v>
      </c>
      <c r="O96" s="34" t="s">
        <v>279</v>
      </c>
      <c r="P96">
        <v>3</v>
      </c>
      <c r="Q96" s="34" t="s">
        <v>178</v>
      </c>
      <c r="R96" s="34" t="s">
        <v>146</v>
      </c>
      <c r="S96" s="4" t="s">
        <v>19</v>
      </c>
      <c r="T96" t="s">
        <v>232</v>
      </c>
    </row>
    <row r="97" spans="3:20" x14ac:dyDescent="0.25">
      <c r="C97">
        <v>75</v>
      </c>
      <c r="D97" t="s">
        <v>315</v>
      </c>
      <c r="E97" t="s">
        <v>72</v>
      </c>
      <c r="F97" t="str">
        <f t="shared" si="5"/>
        <v>75SOLIS</v>
      </c>
      <c r="I97" t="str">
        <f t="shared" si="4"/>
        <v>SOLIS-75K-5G</v>
      </c>
      <c r="J97" t="s">
        <v>151</v>
      </c>
      <c r="K97" t="s">
        <v>316</v>
      </c>
      <c r="L97" s="34" t="s">
        <v>166</v>
      </c>
      <c r="M97" s="34" t="s">
        <v>227</v>
      </c>
      <c r="N97" s="34" t="s">
        <v>303</v>
      </c>
      <c r="O97" s="34" t="s">
        <v>279</v>
      </c>
      <c r="P97">
        <v>3</v>
      </c>
      <c r="Q97" s="34" t="s">
        <v>178</v>
      </c>
      <c r="R97" s="34" t="s">
        <v>146</v>
      </c>
      <c r="S97" s="4" t="s">
        <v>19</v>
      </c>
      <c r="T97" t="s">
        <v>232</v>
      </c>
    </row>
    <row r="98" spans="3:20" x14ac:dyDescent="0.25">
      <c r="C98">
        <v>75</v>
      </c>
      <c r="D98" t="s">
        <v>317</v>
      </c>
      <c r="E98" t="s">
        <v>236</v>
      </c>
      <c r="F98" t="str">
        <f t="shared" si="5"/>
        <v>75RENOVIGI</v>
      </c>
      <c r="I98" t="str">
        <f t="shared" si="4"/>
        <v>RENO-75K-NG</v>
      </c>
      <c r="J98" t="s">
        <v>151</v>
      </c>
      <c r="K98" t="s">
        <v>316</v>
      </c>
      <c r="L98" s="34" t="s">
        <v>166</v>
      </c>
      <c r="M98" s="34" t="s">
        <v>227</v>
      </c>
      <c r="N98" s="34" t="s">
        <v>303</v>
      </c>
      <c r="O98" s="34" t="s">
        <v>279</v>
      </c>
      <c r="P98">
        <v>3</v>
      </c>
      <c r="Q98" s="34" t="s">
        <v>178</v>
      </c>
      <c r="R98" s="34" t="s">
        <v>146</v>
      </c>
      <c r="S98" s="4" t="s">
        <v>19</v>
      </c>
      <c r="T98" t="s">
        <v>232</v>
      </c>
    </row>
    <row r="99" spans="3:20" x14ac:dyDescent="0.25">
      <c r="C99">
        <v>75</v>
      </c>
      <c r="D99" s="24"/>
      <c r="E99" t="s">
        <v>189</v>
      </c>
      <c r="F99" t="str">
        <f t="shared" si="5"/>
        <v>75BYD</v>
      </c>
      <c r="I99">
        <f t="shared" si="4"/>
        <v>0</v>
      </c>
      <c r="J99" t="s">
        <v>151</v>
      </c>
      <c r="K99" t="e">
        <f>VLOOKUP(D99,D130:E131,2,FALSE)</f>
        <v>#N/A</v>
      </c>
      <c r="L99" s="34" t="s">
        <v>166</v>
      </c>
      <c r="M99" s="34" t="s">
        <v>227</v>
      </c>
      <c r="N99" s="34" t="s">
        <v>303</v>
      </c>
      <c r="O99" s="34" t="s">
        <v>279</v>
      </c>
      <c r="P99">
        <v>3</v>
      </c>
      <c r="Q99" s="34" t="s">
        <v>178</v>
      </c>
      <c r="R99" s="34" t="s">
        <v>146</v>
      </c>
      <c r="S99" s="4" t="s">
        <v>19</v>
      </c>
      <c r="T99" t="s">
        <v>232</v>
      </c>
    </row>
    <row r="102" spans="3:20" x14ac:dyDescent="0.25">
      <c r="C102" s="58">
        <v>3</v>
      </c>
      <c r="D102" s="26" t="s">
        <v>318</v>
      </c>
      <c r="E102" s="27" t="s">
        <v>319</v>
      </c>
    </row>
    <row r="103" spans="3:20" x14ac:dyDescent="0.25">
      <c r="C103" s="62"/>
      <c r="D103" s="26" t="s">
        <v>320</v>
      </c>
      <c r="E103" s="27">
        <v>0</v>
      </c>
    </row>
    <row r="104" spans="3:20" x14ac:dyDescent="0.25">
      <c r="C104" s="59"/>
      <c r="D104" s="26" t="s">
        <v>321</v>
      </c>
      <c r="E104" s="27" t="s">
        <v>244</v>
      </c>
    </row>
    <row r="105" spans="3:20" x14ac:dyDescent="0.25">
      <c r="C105" s="42"/>
      <c r="D105" s="25"/>
      <c r="E105" s="24"/>
    </row>
    <row r="106" spans="3:20" x14ac:dyDescent="0.25">
      <c r="C106" s="42"/>
      <c r="D106" s="25"/>
      <c r="E106" s="24"/>
    </row>
    <row r="107" spans="3:20" x14ac:dyDescent="0.25">
      <c r="C107" s="58">
        <v>8</v>
      </c>
      <c r="D107" s="26" t="s">
        <v>322</v>
      </c>
      <c r="E107" s="27" t="s">
        <v>323</v>
      </c>
    </row>
    <row r="108" spans="3:20" x14ac:dyDescent="0.25">
      <c r="C108" s="62"/>
      <c r="D108" s="26" t="s">
        <v>324</v>
      </c>
      <c r="E108" s="27">
        <v>0</v>
      </c>
    </row>
    <row r="109" spans="3:20" x14ac:dyDescent="0.25">
      <c r="C109" s="59"/>
      <c r="D109" s="26" t="s">
        <v>325</v>
      </c>
      <c r="E109" s="27" t="s">
        <v>326</v>
      </c>
    </row>
    <row r="110" spans="3:20" x14ac:dyDescent="0.25">
      <c r="C110" s="42"/>
      <c r="D110" s="25"/>
      <c r="E110" s="24"/>
    </row>
    <row r="111" spans="3:20" x14ac:dyDescent="0.25">
      <c r="C111" s="68">
        <v>10</v>
      </c>
      <c r="D111" s="25" t="s">
        <v>327</v>
      </c>
      <c r="E111" s="24">
        <v>45.9</v>
      </c>
    </row>
    <row r="112" spans="3:20" x14ac:dyDescent="0.25">
      <c r="C112" s="59"/>
      <c r="D112" s="25" t="s">
        <v>328</v>
      </c>
      <c r="E112" s="24">
        <v>0</v>
      </c>
    </row>
    <row r="113" spans="3:7" x14ac:dyDescent="0.25">
      <c r="C113" s="68">
        <v>12</v>
      </c>
      <c r="D113" s="25" t="s">
        <v>329</v>
      </c>
      <c r="E113" s="24"/>
    </row>
    <row r="114" spans="3:7" x14ac:dyDescent="0.25">
      <c r="C114" s="59"/>
      <c r="D114" s="25" t="s">
        <v>330</v>
      </c>
      <c r="E114" s="24"/>
    </row>
    <row r="115" spans="3:7" x14ac:dyDescent="0.25">
      <c r="C115" s="68">
        <v>15</v>
      </c>
      <c r="D115" s="25" t="s">
        <v>331</v>
      </c>
      <c r="E115" s="24"/>
    </row>
    <row r="116" spans="3:7" x14ac:dyDescent="0.25">
      <c r="C116" s="59"/>
      <c r="D116" s="25" t="s">
        <v>332</v>
      </c>
      <c r="E116" s="24"/>
    </row>
    <row r="117" spans="3:7" x14ac:dyDescent="0.25">
      <c r="C117" s="58">
        <v>20</v>
      </c>
      <c r="D117" s="26" t="s">
        <v>333</v>
      </c>
      <c r="E117" s="27" t="s">
        <v>288</v>
      </c>
    </row>
    <row r="118" spans="3:7" x14ac:dyDescent="0.25">
      <c r="C118" s="59"/>
      <c r="D118" s="26" t="s">
        <v>334</v>
      </c>
      <c r="E118" s="27" t="s">
        <v>335</v>
      </c>
    </row>
    <row r="119" spans="3:7" x14ac:dyDescent="0.25">
      <c r="C119" s="58">
        <v>25</v>
      </c>
      <c r="D119" s="26" t="s">
        <v>336</v>
      </c>
      <c r="E119" s="27" t="s">
        <v>337</v>
      </c>
      <c r="F119" s="26" t="s">
        <v>114</v>
      </c>
      <c r="G119" s="26" t="s">
        <v>109</v>
      </c>
    </row>
    <row r="120" spans="3:7" x14ac:dyDescent="0.25">
      <c r="C120" s="59"/>
      <c r="D120" s="26" t="s">
        <v>338</v>
      </c>
      <c r="E120" s="27" t="s">
        <v>339</v>
      </c>
      <c r="F120" s="26" t="s">
        <v>138</v>
      </c>
      <c r="G120" s="26" t="s">
        <v>143</v>
      </c>
    </row>
    <row r="121" spans="3:7" x14ac:dyDescent="0.25">
      <c r="C121" s="58">
        <v>30</v>
      </c>
      <c r="D121" s="26" t="s">
        <v>340</v>
      </c>
      <c r="E121" s="27" t="s">
        <v>295</v>
      </c>
      <c r="F121" s="27" t="s">
        <v>130</v>
      </c>
    </row>
    <row r="122" spans="3:7" x14ac:dyDescent="0.25">
      <c r="C122" s="59"/>
      <c r="D122" s="26" t="s">
        <v>341</v>
      </c>
      <c r="E122" s="27" t="s">
        <v>342</v>
      </c>
      <c r="F122" s="27" t="s">
        <v>138</v>
      </c>
    </row>
    <row r="123" spans="3:7" x14ac:dyDescent="0.25">
      <c r="C123" s="42"/>
      <c r="D123" s="25"/>
      <c r="E123" s="24"/>
    </row>
    <row r="124" spans="3:7" x14ac:dyDescent="0.25">
      <c r="C124" s="58">
        <v>40</v>
      </c>
      <c r="D124" s="26" t="s">
        <v>343</v>
      </c>
      <c r="E124" s="27" t="s">
        <v>302</v>
      </c>
    </row>
    <row r="125" spans="3:7" x14ac:dyDescent="0.25">
      <c r="C125" s="59"/>
      <c r="D125" s="26" t="s">
        <v>344</v>
      </c>
      <c r="E125" s="27" t="s">
        <v>345</v>
      </c>
    </row>
    <row r="126" spans="3:7" x14ac:dyDescent="0.25">
      <c r="C126" s="58">
        <v>50</v>
      </c>
      <c r="D126" s="26" t="s">
        <v>346</v>
      </c>
      <c r="E126" s="27" t="s">
        <v>347</v>
      </c>
      <c r="F126" s="26" t="s">
        <v>158</v>
      </c>
      <c r="G126" s="26" t="s">
        <v>146</v>
      </c>
    </row>
    <row r="127" spans="3:7" x14ac:dyDescent="0.25">
      <c r="C127" s="59"/>
      <c r="D127" s="26" t="s">
        <v>348</v>
      </c>
      <c r="E127" s="27" t="s">
        <v>349</v>
      </c>
      <c r="F127" s="26" t="s">
        <v>162</v>
      </c>
      <c r="G127" s="26" t="s">
        <v>176</v>
      </c>
    </row>
    <row r="128" spans="3:7" x14ac:dyDescent="0.25">
      <c r="C128" s="58">
        <v>60</v>
      </c>
      <c r="D128" s="26" t="s">
        <v>350</v>
      </c>
      <c r="E128" s="27" t="s">
        <v>351</v>
      </c>
    </row>
    <row r="129" spans="3:5" x14ac:dyDescent="0.25">
      <c r="C129" s="59"/>
      <c r="D129" s="26" t="s">
        <v>352</v>
      </c>
      <c r="E129" s="27" t="s">
        <v>353</v>
      </c>
    </row>
    <row r="130" spans="3:5" x14ac:dyDescent="0.25">
      <c r="C130" s="58">
        <v>75</v>
      </c>
      <c r="D130" s="26" t="s">
        <v>354</v>
      </c>
      <c r="E130" s="27" t="s">
        <v>355</v>
      </c>
    </row>
    <row r="131" spans="3:5" x14ac:dyDescent="0.25">
      <c r="C131" s="59"/>
      <c r="D131" s="26" t="s">
        <v>356</v>
      </c>
      <c r="E131" s="27" t="s">
        <v>316</v>
      </c>
    </row>
  </sheetData>
  <mergeCells count="21">
    <mergeCell ref="A22:V22"/>
    <mergeCell ref="C121:C122"/>
    <mergeCell ref="C115:C116"/>
    <mergeCell ref="C124:C125"/>
    <mergeCell ref="A42:C42"/>
    <mergeCell ref="C130:C131"/>
    <mergeCell ref="F42:G42"/>
    <mergeCell ref="C107:C109"/>
    <mergeCell ref="C119:C120"/>
    <mergeCell ref="A1:V1"/>
    <mergeCell ref="F23:G23"/>
    <mergeCell ref="A41:V41"/>
    <mergeCell ref="C126:C127"/>
    <mergeCell ref="C111:C112"/>
    <mergeCell ref="B2:C2"/>
    <mergeCell ref="C102:C104"/>
    <mergeCell ref="A23:C23"/>
    <mergeCell ref="L42:M42"/>
    <mergeCell ref="C117:C118"/>
    <mergeCell ref="C128:C129"/>
    <mergeCell ref="C113:C114"/>
  </mergeCells>
  <dataValidations count="12">
    <dataValidation type="list" allowBlank="1" showInputMessage="1" showErrorMessage="1" sqref="D88" xr:uid="{00000000-0002-0000-0100-000000000000}">
      <formula1>$D$124:$D$125</formula1>
    </dataValidation>
    <dataValidation type="list" allowBlank="1" showInputMessage="1" showErrorMessage="1" sqref="D83" xr:uid="{00000000-0002-0000-0100-000001000000}">
      <formula1>$D$121:$D$122</formula1>
    </dataValidation>
    <dataValidation type="list" allowBlank="1" showInputMessage="1" showErrorMessage="1" sqref="D79" xr:uid="{00000000-0002-0000-0100-000002000000}">
      <formula1>$D$119:$D$120</formula1>
    </dataValidation>
    <dataValidation type="list" allowBlank="1" showInputMessage="1" showErrorMessage="1" sqref="D77" xr:uid="{00000000-0002-0000-0100-000003000000}">
      <formula1>$D$117:$D$118</formula1>
    </dataValidation>
    <dataValidation type="list" allowBlank="1" showInputMessage="1" showErrorMessage="1" sqref="D73" xr:uid="{00000000-0002-0000-0100-000004000000}">
      <formula1>$D$115:$D$116</formula1>
    </dataValidation>
    <dataValidation type="list" allowBlank="1" showInputMessage="1" showErrorMessage="1" sqref="D69" xr:uid="{00000000-0002-0000-0100-000005000000}">
      <formula1>$D$113:$D$114</formula1>
    </dataValidation>
    <dataValidation type="list" allowBlank="1" showInputMessage="1" showErrorMessage="1" sqref="D66" xr:uid="{00000000-0002-0000-0100-000006000000}">
      <formula1>$D$111:$D$112</formula1>
    </dataValidation>
    <dataValidation type="list" allowBlank="1" showInputMessage="1" showErrorMessage="1" sqref="D61" xr:uid="{00000000-0002-0000-0100-000007000000}">
      <formula1>$D$107:$D$109</formula1>
    </dataValidation>
    <dataValidation type="list" allowBlank="1" showInputMessage="1" showErrorMessage="1" sqref="D47" xr:uid="{00000000-0002-0000-0100-000008000000}">
      <formula1>$D$102:$D$104</formula1>
    </dataValidation>
    <dataValidation type="list" allowBlank="1" showInputMessage="1" showErrorMessage="1" sqref="D92" xr:uid="{00000000-0002-0000-0100-000009000000}">
      <formula1>$D$126:$D$127</formula1>
    </dataValidation>
    <dataValidation type="list" allowBlank="1" showInputMessage="1" showErrorMessage="1" sqref="D95" xr:uid="{00000000-0002-0000-0100-00000A000000}">
      <formula1>$D$128:$D$129</formula1>
    </dataValidation>
    <dataValidation type="list" allowBlank="1" showInputMessage="1" showErrorMessage="1" sqref="D99" xr:uid="{00000000-0002-0000-0100-00000B000000}">
      <formula1>$D$130:$D$131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CM2"/>
  <sheetViews>
    <sheetView topLeftCell="CH1" workbookViewId="0">
      <selection activeCell="BZ2" sqref="BZ2"/>
    </sheetView>
  </sheetViews>
  <sheetFormatPr defaultRowHeight="15" x14ac:dyDescent="0.25"/>
  <cols>
    <col min="1" max="1" width="12.7109375" style="39" customWidth="1"/>
    <col min="2" max="2" width="20.28515625" style="39" customWidth="1"/>
    <col min="3" max="3" width="15.5703125" style="39" customWidth="1"/>
    <col min="4" max="4" width="14.140625" style="39" customWidth="1"/>
    <col min="5" max="5" width="17.5703125" style="39" customWidth="1"/>
    <col min="6" max="6" width="8.7109375" style="39" customWidth="1"/>
    <col min="7" max="7" width="10.5703125" style="39" customWidth="1"/>
    <col min="8" max="8" width="12.28515625" style="39" customWidth="1"/>
    <col min="9" max="9" width="14" style="39" customWidth="1"/>
    <col min="10" max="10" width="18" style="39" customWidth="1"/>
    <col min="11" max="11" width="31" style="39" customWidth="1"/>
    <col min="12" max="12" width="20.5703125" style="39" customWidth="1"/>
    <col min="15" max="15" width="10.5703125" style="39" customWidth="1"/>
    <col min="16" max="16" width="10.140625" style="39" customWidth="1"/>
    <col min="17" max="17" width="19" style="39" customWidth="1"/>
    <col min="18" max="18" width="20.28515625" style="39" customWidth="1"/>
    <col min="19" max="19" width="13.85546875" style="39" customWidth="1"/>
    <col min="20" max="20" width="22.85546875" style="39" customWidth="1"/>
    <col min="21" max="21" width="15" style="39" customWidth="1"/>
    <col min="22" max="22" width="13.42578125" style="39" customWidth="1"/>
    <col min="23" max="23" width="19.7109375" style="39" customWidth="1"/>
    <col min="26" max="26" width="16" style="39" customWidth="1"/>
    <col min="27" max="27" width="17.85546875" style="39" customWidth="1"/>
    <col min="28" max="28" width="12.85546875" style="39" customWidth="1"/>
    <col min="29" max="29" width="12.140625" style="39" customWidth="1"/>
    <col min="30" max="30" width="22.28515625" style="39" customWidth="1"/>
    <col min="31" max="31" width="13.7109375" style="39" customWidth="1"/>
    <col min="32" max="32" width="17.7109375" style="39" customWidth="1"/>
    <col min="33" max="33" width="16.85546875" style="39" customWidth="1"/>
    <col min="34" max="34" width="12.28515625" style="39" customWidth="1"/>
    <col min="35" max="35" width="11.85546875" style="39" customWidth="1"/>
    <col min="36" max="36" width="35.7109375" style="39" customWidth="1"/>
    <col min="38" max="38" width="18" style="39" customWidth="1"/>
    <col min="40" max="40" width="16.5703125" style="39" customWidth="1"/>
    <col min="42" max="42" width="17" style="39" customWidth="1"/>
    <col min="44" max="44" width="18" style="39" customWidth="1"/>
    <col min="46" max="46" width="15.7109375" style="39" customWidth="1"/>
    <col min="47" max="47" width="20.7109375" style="39" customWidth="1"/>
    <col min="48" max="48" width="20" style="39" customWidth="1"/>
    <col min="49" max="49" width="22.5703125" style="39" customWidth="1"/>
    <col min="50" max="50" width="23.7109375" style="39" customWidth="1"/>
    <col min="51" max="51" width="16.7109375" style="39" customWidth="1"/>
    <col min="53" max="53" width="15.42578125" style="39" bestFit="1" customWidth="1"/>
    <col min="54" max="54" width="16.140625" style="39" customWidth="1"/>
    <col min="55" max="55" width="19.85546875" style="39" customWidth="1"/>
    <col min="56" max="56" width="20.140625" style="39" customWidth="1"/>
    <col min="57" max="57" width="21.85546875" style="39" customWidth="1"/>
    <col min="58" max="58" width="24.140625" style="39" customWidth="1"/>
    <col min="59" max="59" width="21" style="39" customWidth="1"/>
    <col min="60" max="60" width="21.85546875" style="39" customWidth="1"/>
    <col min="61" max="61" width="19.42578125" style="39" customWidth="1"/>
    <col min="62" max="62" width="20.7109375" style="39" customWidth="1"/>
    <col min="63" max="63" width="22.7109375" style="39" customWidth="1"/>
    <col min="64" max="64" width="18.28515625" style="39" customWidth="1"/>
    <col min="65" max="65" width="18.85546875" style="39" customWidth="1"/>
    <col min="66" max="66" width="19.28515625" style="39" customWidth="1"/>
    <col min="67" max="68" width="19" style="39" customWidth="1"/>
    <col min="69" max="69" width="18.28515625" style="39" customWidth="1"/>
    <col min="70" max="70" width="17.5703125" style="39" customWidth="1"/>
    <col min="71" max="71" width="16.42578125" style="39" customWidth="1"/>
    <col min="72" max="72" width="12.42578125" style="39" customWidth="1"/>
    <col min="73" max="73" width="15.85546875" style="39" customWidth="1"/>
    <col min="77" max="77" width="15" style="39" customWidth="1"/>
    <col min="78" max="78" width="22.85546875" style="39" customWidth="1"/>
    <col min="79" max="80" width="16.42578125" style="39" customWidth="1"/>
    <col min="81" max="81" width="12.7109375" style="39" customWidth="1"/>
    <col min="82" max="82" width="13.85546875" style="39" customWidth="1"/>
    <col min="83" max="83" width="14.5703125" style="39" customWidth="1"/>
    <col min="84" max="84" width="18" style="39" customWidth="1"/>
    <col min="85" max="85" width="16.140625" style="39" customWidth="1"/>
    <col min="86" max="86" width="23" style="39" customWidth="1"/>
    <col min="87" max="87" width="16.42578125" style="39" customWidth="1"/>
    <col min="88" max="88" width="18" style="39" customWidth="1"/>
    <col min="89" max="89" width="18.85546875" style="39" customWidth="1"/>
    <col min="90" max="90" width="15.28515625" style="39" customWidth="1"/>
    <col min="91" max="91" width="14.28515625" style="39" bestFit="1" customWidth="1"/>
  </cols>
  <sheetData>
    <row r="1" spans="1:91" x14ac:dyDescent="0.25">
      <c r="A1" s="45" t="s">
        <v>0</v>
      </c>
      <c r="B1" s="45" t="s">
        <v>357</v>
      </c>
      <c r="C1" s="45" t="s">
        <v>358</v>
      </c>
      <c r="D1" s="45" t="s">
        <v>359</v>
      </c>
      <c r="E1" s="45" t="s">
        <v>2</v>
      </c>
      <c r="F1" s="45" t="s">
        <v>360</v>
      </c>
      <c r="G1" s="45" t="s">
        <v>4</v>
      </c>
      <c r="H1" s="45" t="s">
        <v>5</v>
      </c>
      <c r="I1" s="45" t="s">
        <v>6</v>
      </c>
      <c r="J1" s="45" t="s">
        <v>361</v>
      </c>
      <c r="K1" s="45" t="s">
        <v>43</v>
      </c>
      <c r="L1" s="45" t="s">
        <v>48</v>
      </c>
      <c r="M1" s="45" t="s">
        <v>21</v>
      </c>
      <c r="N1" s="45" t="s">
        <v>22</v>
      </c>
      <c r="O1" s="45" t="s">
        <v>23</v>
      </c>
      <c r="P1" s="45" t="s">
        <v>362</v>
      </c>
      <c r="Q1" s="45" t="s">
        <v>363</v>
      </c>
      <c r="R1" s="45" t="s">
        <v>25</v>
      </c>
      <c r="S1" s="45" t="s">
        <v>364</v>
      </c>
      <c r="T1" s="45" t="s">
        <v>26</v>
      </c>
      <c r="U1" s="45" t="s">
        <v>32</v>
      </c>
      <c r="V1" s="45" t="s">
        <v>33</v>
      </c>
      <c r="W1" s="45" t="s">
        <v>365</v>
      </c>
      <c r="X1" s="45" t="s">
        <v>366</v>
      </c>
      <c r="Y1" s="45" t="s">
        <v>36</v>
      </c>
      <c r="Z1" s="45" t="s">
        <v>367</v>
      </c>
      <c r="AA1" s="45" t="s">
        <v>368</v>
      </c>
      <c r="AB1" s="45" t="s">
        <v>39</v>
      </c>
      <c r="AC1" s="45" t="s">
        <v>40</v>
      </c>
      <c r="AD1" s="45" t="s">
        <v>369</v>
      </c>
      <c r="AE1" s="45" t="s">
        <v>45</v>
      </c>
      <c r="AF1" s="45" t="s">
        <v>370</v>
      </c>
      <c r="AG1" s="45" t="s">
        <v>371</v>
      </c>
      <c r="AH1" s="45" t="s">
        <v>46</v>
      </c>
      <c r="AI1" s="45" t="s">
        <v>47</v>
      </c>
      <c r="AJ1" s="45" t="s">
        <v>50</v>
      </c>
      <c r="AK1" s="45" t="s">
        <v>372</v>
      </c>
      <c r="AL1" s="45" t="s">
        <v>373</v>
      </c>
      <c r="AM1" s="45" t="s">
        <v>374</v>
      </c>
      <c r="AN1" s="45" t="s">
        <v>375</v>
      </c>
      <c r="AO1" s="45" t="s">
        <v>376</v>
      </c>
      <c r="AP1" s="45" t="s">
        <v>377</v>
      </c>
      <c r="AQ1" s="45" t="s">
        <v>378</v>
      </c>
      <c r="AR1" s="45" t="s">
        <v>379</v>
      </c>
      <c r="AS1" s="45" t="s">
        <v>380</v>
      </c>
      <c r="AT1" s="45" t="s">
        <v>381</v>
      </c>
      <c r="AU1" s="45" t="s">
        <v>382</v>
      </c>
      <c r="AV1" s="45" t="s">
        <v>383</v>
      </c>
      <c r="AW1" s="45" t="s">
        <v>384</v>
      </c>
      <c r="AX1" s="45" t="s">
        <v>385</v>
      </c>
      <c r="AY1" s="45" t="s">
        <v>62</v>
      </c>
      <c r="AZ1" s="45" t="s">
        <v>63</v>
      </c>
      <c r="BA1" s="45" t="s">
        <v>386</v>
      </c>
      <c r="BB1" s="45" t="s">
        <v>387</v>
      </c>
      <c r="BC1" s="45" t="s">
        <v>388</v>
      </c>
      <c r="BD1" s="45" t="s">
        <v>389</v>
      </c>
      <c r="BE1" s="45" t="s">
        <v>390</v>
      </c>
      <c r="BF1" s="45" t="s">
        <v>68</v>
      </c>
      <c r="BG1" s="45" t="s">
        <v>391</v>
      </c>
      <c r="BH1" s="45" t="s">
        <v>70</v>
      </c>
      <c r="BI1" s="45" t="s">
        <v>392</v>
      </c>
      <c r="BJ1" s="45" t="s">
        <v>393</v>
      </c>
      <c r="BK1" s="45" t="s">
        <v>394</v>
      </c>
      <c r="BL1" s="45" t="s">
        <v>395</v>
      </c>
      <c r="BM1" s="45" t="s">
        <v>396</v>
      </c>
      <c r="BN1" s="45" t="s">
        <v>397</v>
      </c>
      <c r="BO1" s="45" t="s">
        <v>398</v>
      </c>
      <c r="BP1" s="45" t="s">
        <v>399</v>
      </c>
      <c r="BQ1" s="45" t="s">
        <v>400</v>
      </c>
      <c r="BR1" s="45" t="s">
        <v>401</v>
      </c>
      <c r="BS1" s="45" t="s">
        <v>402</v>
      </c>
      <c r="BT1" s="45" t="s">
        <v>403</v>
      </c>
      <c r="BU1" s="45" t="s">
        <v>404</v>
      </c>
      <c r="BV1" s="45" t="s">
        <v>405</v>
      </c>
      <c r="BW1" s="45" t="s">
        <v>85</v>
      </c>
      <c r="BX1" s="45" t="s">
        <v>86</v>
      </c>
      <c r="BY1" s="45" t="s">
        <v>87</v>
      </c>
      <c r="BZ1" s="45" t="s">
        <v>406</v>
      </c>
      <c r="CA1" s="45" t="s">
        <v>407</v>
      </c>
      <c r="CB1" s="45" t="s">
        <v>408</v>
      </c>
      <c r="CC1" s="45" t="s">
        <v>409</v>
      </c>
      <c r="CD1" s="45" t="s">
        <v>410</v>
      </c>
      <c r="CE1" s="45" t="s">
        <v>411</v>
      </c>
      <c r="CF1" s="45" t="s">
        <v>221</v>
      </c>
      <c r="CG1" s="45" t="s">
        <v>412</v>
      </c>
      <c r="CH1" s="45" t="s">
        <v>8</v>
      </c>
      <c r="CI1" s="45" t="s">
        <v>9</v>
      </c>
      <c r="CJ1" s="45" t="s">
        <v>90</v>
      </c>
      <c r="CK1" s="45" t="s">
        <v>413</v>
      </c>
      <c r="CL1" s="45" t="s">
        <v>51</v>
      </c>
      <c r="CM1" s="45" t="s">
        <v>414</v>
      </c>
    </row>
    <row r="2" spans="1:91" s="33" customFormat="1" x14ac:dyDescent="0.25">
      <c r="A2" s="3" t="str">
        <f ca="1">TEXT(DADOS!A2,"dd/MM/AAAA")</f>
        <v>15/10/2025</v>
      </c>
      <c r="B2" s="45" t="str">
        <f ca="1">TEXT(DADOS!H18,"dd/MM/AAAA")</f>
        <v>15/01/2026</v>
      </c>
      <c r="C2" s="3" t="str">
        <f ca="1">TEXT(EDATE(B2, 1),"dd/MM/AAAA")</f>
        <v>15/02/2026</v>
      </c>
      <c r="D2" s="15" t="str">
        <f>DADOS!B2</f>
        <v>Adriane Rubert</v>
      </c>
      <c r="E2" s="15" t="str">
        <f>DADOS!C2</f>
        <v>Avenida Expedicionário Weber</v>
      </c>
      <c r="F2" s="15">
        <f>DADOS!D2</f>
        <v>717</v>
      </c>
      <c r="G2" s="15" t="str">
        <f>DADOS!E2</f>
        <v>Centro</v>
      </c>
      <c r="H2" s="15" t="str">
        <f>DADOS!F2</f>
        <v>rubertadriane@gmail.com</v>
      </c>
      <c r="I2" s="15" t="str">
        <f>DADOS!G2</f>
        <v>(55) 984398518</v>
      </c>
      <c r="J2" s="15" t="str">
        <f>DADOS!H2</f>
        <v>591.875.730-91</v>
      </c>
      <c r="K2" s="15">
        <f>DADOS!C11</f>
        <v>0</v>
      </c>
      <c r="L2" s="15">
        <f>DADOS!C13</f>
        <v>0</v>
      </c>
      <c r="M2" s="15">
        <f>DADOS!A5</f>
        <v>123</v>
      </c>
      <c r="N2" s="15" t="str">
        <f>DADOS!B5</f>
        <v>B3</v>
      </c>
      <c r="O2" s="15" t="str">
        <f>DADOS!C5</f>
        <v>Comercial</v>
      </c>
      <c r="P2" s="15" t="str">
        <f>DADOS!D5</f>
        <v>380/220V</v>
      </c>
      <c r="Q2" s="15" t="e">
        <f>DADOS!#REF!</f>
        <v>#REF!</v>
      </c>
      <c r="R2" s="15">
        <f>DADOS!E5</f>
        <v>60.33</v>
      </c>
      <c r="S2" s="15" t="str">
        <f>DADOS!F5</f>
        <v>RIC BT - A2</v>
      </c>
      <c r="T2" s="15" t="str">
        <f>DADOS!G5</f>
        <v>Aéreo</v>
      </c>
      <c r="U2" s="15" t="str">
        <f>DADOS!A8</f>
        <v>CLI</v>
      </c>
      <c r="V2" s="15" t="str">
        <f>DADOS!B8</f>
        <v>Monofásico</v>
      </c>
      <c r="W2" s="15" t="str">
        <f>DADOS!C8</f>
        <v>1#40</v>
      </c>
      <c r="X2" s="15" t="str">
        <f>DADOS!D8</f>
        <v>10 mm²</v>
      </c>
      <c r="Y2" s="15" t="str">
        <f>DADOS!E8</f>
        <v xml:space="preserve">Duplex </v>
      </c>
      <c r="Z2" s="15" t="str">
        <f>DADOS!F8</f>
        <v>10 mm²</v>
      </c>
      <c r="AA2" s="15" t="str">
        <f>DADOS!G8</f>
        <v>10 mm²</v>
      </c>
      <c r="AB2" s="15" t="str">
        <f>DADOS!H8</f>
        <v>10mm²</v>
      </c>
      <c r="AC2" s="15" t="str">
        <f>DADOS!I8</f>
        <v>750V (PVC)</v>
      </c>
      <c r="AD2" s="15" t="str">
        <f>DADOS!E11</f>
        <v>40A</v>
      </c>
      <c r="AE2" s="15" t="str">
        <f>DADOS!F11</f>
        <v>Monopolar</v>
      </c>
      <c r="AF2" s="15" t="e">
        <f ca="1">MID(AH2,1,3)*-1&amp;"º "&amp;(MID(AH2,4,2)*60)/100&amp;"' "&amp;((MID(AH2,4,2)*60)/100)*60/100&amp;"“"</f>
        <v>#NAME?</v>
      </c>
      <c r="AG2" s="15" t="e">
        <f ca="1">MID(AI2,1,3)*-1&amp;"º "&amp;(MID(AI2,4,2)*60)/100&amp;"' "&amp;((MID(AI2,4,2)*60)/100)*60/100&amp;"“"</f>
        <v>#NAME?</v>
      </c>
      <c r="AH2" s="15" t="e">
        <f ca="1">DADOS!B11</f>
        <v>#NAME?</v>
      </c>
      <c r="AI2" s="15" t="e">
        <f ca="1">DADOS!B12</f>
        <v>#NAME?</v>
      </c>
      <c r="AJ2" s="15">
        <f>DADOS!D18</f>
        <v>1</v>
      </c>
      <c r="AK2" s="15">
        <f>DADOS!A19</f>
        <v>0</v>
      </c>
      <c r="AL2" s="15">
        <f>DADOS!B19</f>
        <v>0</v>
      </c>
      <c r="AM2" s="15">
        <f>DADOS!A20</f>
        <v>0</v>
      </c>
      <c r="AN2" s="15">
        <f>DADOS!B20</f>
        <v>0</v>
      </c>
      <c r="AO2" s="15">
        <f>DADOS!A21</f>
        <v>0</v>
      </c>
      <c r="AP2" s="15">
        <f>DADOS!B21</f>
        <v>0</v>
      </c>
      <c r="AQ2" s="15">
        <f>DADOS!A22</f>
        <v>0</v>
      </c>
      <c r="AR2" s="15">
        <f>DADOS!B22</f>
        <v>0</v>
      </c>
      <c r="AS2" s="15">
        <f>DADOS!A23</f>
        <v>0</v>
      </c>
      <c r="AT2" s="15">
        <f>DADOS!B23</f>
        <v>0</v>
      </c>
      <c r="AU2" s="15">
        <f>DADOS!A27</f>
        <v>545</v>
      </c>
      <c r="AV2" s="15" t="str">
        <f>DADOS!B27</f>
        <v>LR5-72HPH-545M</v>
      </c>
      <c r="AW2" s="15" t="str">
        <f>DADOS!C27</f>
        <v>LONGI</v>
      </c>
      <c r="AX2" s="15">
        <f>DADOS!D27</f>
        <v>7</v>
      </c>
      <c r="AY2" s="15">
        <f>DADOS!F27</f>
        <v>3.8149999999999999</v>
      </c>
      <c r="AZ2" s="44" t="str">
        <f>DADOS!G27</f>
        <v>17,89</v>
      </c>
      <c r="BA2" s="15" t="str">
        <f>DADOS!H27</f>
        <v>003746/2021</v>
      </c>
      <c r="BB2" s="18">
        <f>DADOS!I27</f>
        <v>21.3</v>
      </c>
      <c r="BC2" s="15">
        <f>DADOS!A29</f>
        <v>3</v>
      </c>
      <c r="BD2" s="15" t="str">
        <f>DADOS!B29</f>
        <v>S6-GR1P3K</v>
      </c>
      <c r="BE2" s="15" t="str">
        <f>DADOS!C29</f>
        <v>SOLIS</v>
      </c>
      <c r="BF2" s="15">
        <f>DADOS!D29</f>
        <v>1</v>
      </c>
      <c r="BG2" s="15">
        <f>DADOS!F29</f>
        <v>3</v>
      </c>
      <c r="BH2" s="15" t="str">
        <f>DADOS!G29</f>
        <v>3,00</v>
      </c>
      <c r="BI2" s="15" t="str">
        <f>DADOS!H29</f>
        <v>Monofásico</v>
      </c>
      <c r="BJ2" s="15" t="str">
        <f>DADOS!I29</f>
        <v>15,7 A</v>
      </c>
      <c r="BK2" s="15">
        <f>DADOS!A36</f>
        <v>4</v>
      </c>
      <c r="BL2" s="15">
        <f>DADOS!B36</f>
        <v>2</v>
      </c>
      <c r="BM2" s="15">
        <f>DADOS!C36</f>
        <v>0</v>
      </c>
      <c r="BN2" s="15">
        <f>DADOS!D36</f>
        <v>0</v>
      </c>
      <c r="BO2" s="15">
        <f>DADOS!E36</f>
        <v>0</v>
      </c>
      <c r="BP2" s="15">
        <f>DADOS!F36</f>
        <v>0</v>
      </c>
      <c r="BQ2" s="15">
        <f>DADOS!B39</f>
        <v>422.82916666666665</v>
      </c>
      <c r="BR2" s="15">
        <f>DADOS!B40</f>
        <v>5073.95</v>
      </c>
      <c r="BS2" s="15" t="str">
        <f>DADOS!A44</f>
        <v>16A</v>
      </c>
      <c r="BT2" s="15" t="str">
        <f>DADOS!B44</f>
        <v>bipolar</v>
      </c>
      <c r="BU2" s="15" t="str">
        <f>DADOS!C44</f>
        <v>400V</v>
      </c>
      <c r="BV2" s="15" t="str">
        <f>DADOS!D44</f>
        <v>2</v>
      </c>
      <c r="BW2" s="15">
        <f>DADOS!E44</f>
        <v>1</v>
      </c>
      <c r="BX2" s="15" t="str">
        <f>DADOS!F44</f>
        <v>4 mm²</v>
      </c>
      <c r="BY2" s="15" t="str">
        <f>DADOS!G44</f>
        <v>6 mm²</v>
      </c>
      <c r="BZ2" s="15" t="str">
        <f>DADOS!H44</f>
        <v>750V (PVC)</v>
      </c>
      <c r="CA2" s="5">
        <f>DADOS!C19</f>
        <v>0</v>
      </c>
      <c r="CB2" s="5">
        <f>DADOS!C20</f>
        <v>0</v>
      </c>
      <c r="CC2" s="5">
        <f>DADOS!C21</f>
        <v>0</v>
      </c>
      <c r="CD2" s="5">
        <f>DADOS!C22</f>
        <v>0</v>
      </c>
      <c r="CE2" s="5">
        <f>DADOS!C23</f>
        <v>0</v>
      </c>
      <c r="CF2" s="15" t="str">
        <f>VLOOKUP(DADOS!B29,Planilha1!I43:T98,12,FALSE)</f>
        <v>uma</v>
      </c>
      <c r="CG2" s="17">
        <f>DADOS!A50</f>
        <v>4</v>
      </c>
      <c r="CH2" s="18" t="str">
        <f>DADOS!I2</f>
        <v>Santa Rosa</v>
      </c>
      <c r="CI2" s="43">
        <f>DADOS!J2</f>
        <v>98780340</v>
      </c>
      <c r="CJ2" s="18" t="str">
        <f>DADOS!A52</f>
        <v xml:space="preserve"> </v>
      </c>
      <c r="CK2" s="18" t="str">
        <f>DADOS!B52</f>
        <v xml:space="preserve"> </v>
      </c>
      <c r="CL2" s="45">
        <f>DADOS!H19</f>
        <v>1312151</v>
      </c>
      <c r="CM2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Planilha1</vt:lpstr>
      <vt:lpstr>Planilha2</vt:lpstr>
      <vt:lpstr>Planilha1!Area_de_impressao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Schaffazick Quasat Solar Ijuí</dc:creator>
  <cp:lastModifiedBy>Gustavo Schaffazick Quasat Solar Ijuí</cp:lastModifiedBy>
  <cp:lastPrinted>2022-07-25T17:35:08Z</cp:lastPrinted>
  <dcterms:created xsi:type="dcterms:W3CDTF">2015-06-05T18:19:34Z</dcterms:created>
  <dcterms:modified xsi:type="dcterms:W3CDTF">2025-10-15T12:45:11Z</dcterms:modified>
</cp:coreProperties>
</file>