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1b2d2ab726551fb/Feliphe/Trabalho/Excel/"/>
    </mc:Choice>
  </mc:AlternateContent>
  <xr:revisionPtr revIDLastSave="0" documentId="8_{3E1CDBE3-85FD-450B-97D6-6F26139431D8}" xr6:coauthVersionLast="47" xr6:coauthVersionMax="47" xr10:uidLastSave="{00000000-0000-0000-0000-000000000000}"/>
  <bookViews>
    <workbookView xWindow="-108" yWindow="-108" windowWidth="23256" windowHeight="13176" xr2:uid="{DF80E384-3DA8-4C08-8FD4-18F512BCE8EA}"/>
  </bookViews>
  <sheets>
    <sheet name="Livro Caixa" sheetId="1" r:id="rId1"/>
    <sheet name="Apoio" sheetId="4" r:id="rId2"/>
    <sheet name="Client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4" l="1"/>
  <c r="B2" i="4"/>
  <c r="I6" i="1"/>
  <c r="J6" i="1" s="1"/>
  <c r="V6" i="1"/>
  <c r="I5" i="1"/>
  <c r="L5" i="1" s="1"/>
  <c r="N5" i="1" s="1"/>
  <c r="T5" i="1" s="1"/>
  <c r="I4" i="1"/>
  <c r="J4" i="1" s="1"/>
  <c r="I3" i="1"/>
  <c r="L3" i="1" s="1"/>
  <c r="N3" i="1" s="1"/>
  <c r="I2" i="1"/>
  <c r="L2" i="1" s="1"/>
  <c r="N2" i="1" s="1"/>
  <c r="C2" i="2"/>
  <c r="C3" i="2"/>
  <c r="L6" i="1" l="1"/>
  <c r="N6" i="1" s="1"/>
  <c r="T6" i="1" s="1"/>
  <c r="V5" i="1"/>
  <c r="J5" i="1"/>
  <c r="L4" i="1"/>
  <c r="N4" i="1" s="1"/>
  <c r="J2" i="1"/>
  <c r="J3" i="1"/>
  <c r="V3" i="1"/>
  <c r="T3" i="1"/>
  <c r="V2" i="1"/>
  <c r="T2" i="1"/>
  <c r="D2" i="4" l="1"/>
  <c r="F2" i="4" s="1"/>
  <c r="H2" i="4" s="1"/>
  <c r="T4" i="1"/>
  <c r="C2" i="4" s="1"/>
  <c r="V4" i="1"/>
  <c r="A2" i="4" s="1"/>
</calcChain>
</file>

<file path=xl/sharedStrings.xml><?xml version="1.0" encoding="utf-8"?>
<sst xmlns="http://schemas.openxmlformats.org/spreadsheetml/2006/main" count="65" uniqueCount="51">
  <si>
    <t>Nº Pedido</t>
  </si>
  <si>
    <t>Data do Pedido</t>
  </si>
  <si>
    <t>Cliente</t>
  </si>
  <si>
    <t>Descrição do Produto/Serviço</t>
  </si>
  <si>
    <t>Categoria</t>
  </si>
  <si>
    <t>Quantidade</t>
  </si>
  <si>
    <t>Desconto</t>
  </si>
  <si>
    <t>Valor Total</t>
  </si>
  <si>
    <t>Status</t>
  </si>
  <si>
    <t>Data de Entrega</t>
  </si>
  <si>
    <t>Observações</t>
  </si>
  <si>
    <t>Data Pagamento</t>
  </si>
  <si>
    <t>Valor Pago</t>
  </si>
  <si>
    <t>Forma Pagamento</t>
  </si>
  <si>
    <t>Comissão</t>
  </si>
  <si>
    <t>Comprimento</t>
  </si>
  <si>
    <t>Altura</t>
  </si>
  <si>
    <t>M²</t>
  </si>
  <si>
    <t>Valor M²</t>
  </si>
  <si>
    <t>Marmoraria</t>
  </si>
  <si>
    <t>Nome</t>
  </si>
  <si>
    <t>Telefone</t>
  </si>
  <si>
    <t>Cnpj/Cpf</t>
  </si>
  <si>
    <t>Granimarmore</t>
  </si>
  <si>
    <t>Camila Baldi</t>
  </si>
  <si>
    <t>JG Marmores</t>
  </si>
  <si>
    <t>Debóra</t>
  </si>
  <si>
    <t>Cidade</t>
  </si>
  <si>
    <t>Salto</t>
  </si>
  <si>
    <t>Hortolândia</t>
  </si>
  <si>
    <t>Concat</t>
  </si>
  <si>
    <t>Granimarmore/Camila Baldi</t>
  </si>
  <si>
    <t xml:space="preserve">Pedra Sabão </t>
  </si>
  <si>
    <t>Pix</t>
  </si>
  <si>
    <t>Entregue</t>
  </si>
  <si>
    <t>V.Restante</t>
  </si>
  <si>
    <t>Chapas</t>
  </si>
  <si>
    <t>Anexo</t>
  </si>
  <si>
    <t>PDF AQUI</t>
  </si>
  <si>
    <t>JG Marmores/Debóra</t>
  </si>
  <si>
    <t>Biancatto</t>
  </si>
  <si>
    <t>V. Unitario</t>
  </si>
  <si>
    <t>M² Total</t>
  </si>
  <si>
    <t>Aprovado</t>
  </si>
  <si>
    <t>Branco Stellar</t>
  </si>
  <si>
    <t>Recebido</t>
  </si>
  <si>
    <t>Total</t>
  </si>
  <si>
    <t>Meta</t>
  </si>
  <si>
    <t>Faltam</t>
  </si>
  <si>
    <t>Dias restantes</t>
  </si>
  <si>
    <t>Meta diaria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</si>
</sst>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6" formatCode="[&lt;=99999999999]000\.000\.000\-00;00\.000\.000\/0000\-00"/>
    <numFmt numFmtId="167" formatCode="\+00\ \(00\)\ 00000\-0000"/>
    <numFmt numFmtId="169" formatCode="&quot;R$&quot;\ #,##0.00;[Red]&quot;R$&quot;\ #,##0.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Calibri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rgb="FFFFC000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3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6" fontId="0" fillId="0" borderId="0" xfId="0" applyNumberFormat="1"/>
    <xf numFmtId="167" fontId="0" fillId="0" borderId="0" xfId="0" applyNumberFormat="1"/>
    <xf numFmtId="44" fontId="0" fillId="0" borderId="0" xfId="1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4" fillId="0" borderId="0" xfId="2" applyAlignment="1">
      <alignment horizontal="center" vertical="center"/>
    </xf>
    <xf numFmtId="44" fontId="0" fillId="0" borderId="0" xfId="1" applyFont="1"/>
    <xf numFmtId="0" fontId="0" fillId="0" borderId="0" xfId="0" applyNumberFormat="1" applyAlignment="1">
      <alignment horizontal="center" vertical="center"/>
    </xf>
    <xf numFmtId="44" fontId="0" fillId="0" borderId="0" xfId="1" applyNumberFormat="1" applyFont="1" applyAlignment="1">
      <alignment horizontal="center" vertical="center"/>
    </xf>
    <xf numFmtId="44" fontId="0" fillId="0" borderId="0" xfId="0" applyNumberFormat="1"/>
    <xf numFmtId="169" fontId="0" fillId="0" borderId="0" xfId="0" applyNumberFormat="1"/>
  </cellXfs>
  <cellStyles count="3">
    <cellStyle name="Hiperlink" xfId="2" builtinId="8"/>
    <cellStyle name="Moeda" xfId="1" builtinId="4"/>
    <cellStyle name="Normal" xfId="0" builtinId="0"/>
  </cellStyles>
  <dxfs count="28">
    <dxf>
      <numFmt numFmtId="0" formatCode="General"/>
      <alignment horizontal="center" vertical="center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9" formatCode="&quot;R$&quot;\ #,##0.00;[Red]&quot;R$&quot;\ #,##0.00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167" formatCode="\+00\ \(00\)\ 00000\-0000"/>
    </dxf>
    <dxf>
      <numFmt numFmtId="166" formatCode="[&lt;=99999999999]000\.000\.000\-00;00\.000\.000\/0000\-0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FFC000"/>
          <bgColor theme="1" tint="0.149998474074526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74EEA-494E-40A2-8225-62812C3FE1FC}" name="Tabela1" displayName="Tabela1" ref="A1:W6" totalsRowShown="0" headerRowDxfId="27" dataDxfId="13">
  <autoFilter ref="A1:W6" xr:uid="{96B74EEA-494E-40A2-8225-62812C3FE1FC}"/>
  <tableColumns count="23">
    <tableColumn id="1" xr3:uid="{38E0956F-FBE6-4E54-9930-BFCEF0929D8E}" name="Nº Pedido" dataDxfId="26"/>
    <tableColumn id="2" xr3:uid="{E6FCCDC0-D0C7-4E24-9757-F05874DD32C4}" name="Data do Pedido" dataDxfId="25"/>
    <tableColumn id="3" xr3:uid="{81AB2FF9-861E-4EAA-8780-BA4BE523BA03}" name="Cliente" dataDxfId="24"/>
    <tableColumn id="4" xr3:uid="{A3C91A19-55AA-4217-8F0B-38EAB8559020}" name="Descrição do Produto/Serviço" dataDxfId="23"/>
    <tableColumn id="5" xr3:uid="{672F1D5A-FE9B-416C-95EE-FC14C9845A8E}" name="Categoria" dataDxfId="22"/>
    <tableColumn id="6" xr3:uid="{23CDE6E6-8600-4E14-9A67-79AA419B397D}" name="Quantidade" dataDxfId="21"/>
    <tableColumn id="7" xr3:uid="{F7C80D42-2EEB-41B8-A887-CDF7F90DF7CA}" name="Comprimento" dataDxfId="20"/>
    <tableColumn id="8" xr3:uid="{C22F218E-DFEB-479C-B997-988C0FCAC0D0}" name="Altura" dataDxfId="19"/>
    <tableColumn id="9" xr3:uid="{4EFB6266-3C06-4C38-837A-EDF6B15E643E}" name="M²" dataDxfId="18">
      <calculatedColumnFormula>Tabela1[[#This Row],[Comprimento]]*Tabela1[[#This Row],[Altura]]</calculatedColumnFormula>
    </tableColumn>
    <tableColumn id="23" xr3:uid="{985B1751-4019-47E7-A7E2-7BDF0A24125B}" name="M² Total" dataDxfId="0">
      <calculatedColumnFormula>Tabela1[[#This Row],[M²]]*Tabela1[[#This Row],[Quantidade]]</calculatedColumnFormula>
    </tableColumn>
    <tableColumn id="10" xr3:uid="{B11A86E6-3BBD-4787-8DFA-659E20EC088A}" name="Valor M²" dataDxfId="17" dataCellStyle="Moeda"/>
    <tableColumn id="22" xr3:uid="{6DAEB9DC-199E-4C3C-A2CE-39122D58C586}" name="V. Unitario" dataDxfId="2" dataCellStyle="Moeda">
      <calculatedColumnFormula>Tabela1[[#This Row],[M²]]*Tabela1[[#This Row],[Valor M²]]</calculatedColumnFormula>
    </tableColumn>
    <tableColumn id="11" xr3:uid="{01C17A2D-0FEE-480C-8CDB-787665EE8D18}" name="Desconto" dataDxfId="16" dataCellStyle="Moeda"/>
    <tableColumn id="12" xr3:uid="{4683A338-E5C2-4D66-8453-4655C64A8C3B}" name="Valor Total" dataDxfId="1">
      <calculatedColumnFormula>(Tabela1[[#This Row],[V. Unitario]]*Tabela1[[#This Row],[Quantidade]])-Tabela1[[#This Row],[Desconto]]</calculatedColumnFormula>
    </tableColumn>
    <tableColumn id="13" xr3:uid="{4F887B90-918A-4DBF-BCFD-AD10B20BD04E}" name="Status" dataDxfId="9"/>
    <tableColumn id="14" xr3:uid="{A573FE11-1A4A-43FD-B499-83BBE1962D95}" name="Data de Entrega" dataDxfId="8"/>
    <tableColumn id="15" xr3:uid="{A6F457C9-3887-45F8-A770-507BC8E74EFC}" name="Observações" dataDxfId="7"/>
    <tableColumn id="16" xr3:uid="{BEF9AB59-AA21-4703-9E5F-0476EBF297B7}" name="Data Pagamento" dataDxfId="5"/>
    <tableColumn id="17" xr3:uid="{8EA6E5FB-16FA-4EA6-9174-15303A71164D}" name="Valor Pago" dataDxfId="6" dataCellStyle="Moeda"/>
    <tableColumn id="20" xr3:uid="{03C2B2E5-02BE-43BB-8756-46762B896DA4}" name="V.Restante" dataDxfId="4">
      <calculatedColumnFormula>Tabela1[[#This Row],[Valor Total]]-Tabela1[[#This Row],[Valor Pago]]</calculatedColumnFormula>
    </tableColumn>
    <tableColumn id="18" xr3:uid="{1C71884C-36D1-4A15-A640-7AF0357990BD}" name="Forma Pagamento" dataDxfId="15"/>
    <tableColumn id="19" xr3:uid="{134D8751-08D6-4D9E-BD60-0E8718E160A1}" name="Comissão" dataDxfId="14" dataCellStyle="Moeda">
      <calculatedColumnFormula>IF(Tabela1[[#This Row],[Categoria]]="Insumos",Tabela1[[#This Row],[Valor Total]]*5%,IF(Tabela1[[#This Row],[Categoria]]="Chapas",Tabela1[[#This Row],[Valor Total]]*1%,0))</calculatedColumnFormula>
    </tableColumn>
    <tableColumn id="21" xr3:uid="{28D120CF-419B-44B0-9EB3-CBF53CA7275C}" name="Anexo" dataDxfId="3" dataCellStyle="Hiperlink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73B581-F6EA-426F-A2D8-B4C998E9A0CB}" name="Tabela2" displayName="Tabela2" ref="A1:F3" totalsRowShown="0">
  <autoFilter ref="A1:F3" xr:uid="{7A73B581-F6EA-426F-A2D8-B4C998E9A0CB}"/>
  <tableColumns count="6">
    <tableColumn id="1" xr3:uid="{8CB09B9E-AC76-4537-9B3C-0ACEFD229552}" name="Marmoraria"/>
    <tableColumn id="2" xr3:uid="{F48221AB-2FB3-4F5C-B632-BCCB6E01ED98}" name="Nome"/>
    <tableColumn id="6" xr3:uid="{11FCB2C9-2DB4-45C2-960F-EBF014F26876}" name="Concat" dataDxfId="10">
      <calculatedColumnFormula>_xlfn.CONCAT(Tabela2[[#This Row],[Marmoraria]],"/",Tabela2[[#This Row],[Nome]])</calculatedColumnFormula>
    </tableColumn>
    <tableColumn id="3" xr3:uid="{D6C807FC-3683-4554-B531-DE992932AA47}" name="Telefone" dataDxfId="11"/>
    <tableColumn id="4" xr3:uid="{18FA4F10-852F-497C-815B-712041CC6782}" name="Cnpj/Cpf" dataDxfId="12"/>
    <tableColumn id="5" xr3:uid="{438B9368-7A1B-4E9A-8FD1-FC7980CF27D5}" name="Cidad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C:\Users\PC\OneDrive\Feliphe\Trabalho\PDFs\Romaneios\OR&#199;AMENTO%20341.pdf" TargetMode="External"/><Relationship Id="rId2" Type="http://schemas.openxmlformats.org/officeDocument/2006/relationships/hyperlink" Target="file:///C:\Users\PC\OneDrive\Feliphe\Trabalho\PDFs\Romaneios\OR&#199;AMENTO%20341.pdf" TargetMode="External"/><Relationship Id="rId1" Type="http://schemas.openxmlformats.org/officeDocument/2006/relationships/hyperlink" Target="file:///C:\Users\PC\OneDrive\Feliphe\Trabalho\PDFs\Romaneios\ROMANEIO%20340.pdf" TargetMode="External"/><Relationship Id="rId5" Type="http://schemas.openxmlformats.org/officeDocument/2006/relationships/table" Target="../tables/table1.xml"/><Relationship Id="rId4" Type="http://schemas.openxmlformats.org/officeDocument/2006/relationships/hyperlink" Target="file:///C:\Users\PC\OneDrive\Feliphe\Trabalho\PDFs\Romaneios\ROMANEIO%20342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280C-DBDE-4FBD-AA28-9160657D9241}">
  <dimension ref="A1:W6"/>
  <sheetViews>
    <sheetView tabSelected="1" topLeftCell="A10" zoomScale="78" workbookViewId="0">
      <selection activeCell="B12" sqref="B12"/>
    </sheetView>
  </sheetViews>
  <sheetFormatPr defaultRowHeight="14.4" x14ac:dyDescent="0.3"/>
  <cols>
    <col min="1" max="1" width="20.88671875" bestFit="1" customWidth="1"/>
    <col min="2" max="2" width="27.6640625" bestFit="1" customWidth="1"/>
    <col min="3" max="3" width="27.44140625" bestFit="1" customWidth="1"/>
    <col min="4" max="4" width="44.77734375" bestFit="1" customWidth="1"/>
    <col min="5" max="5" width="21.109375" bestFit="1" customWidth="1"/>
    <col min="6" max="6" width="23.33203125" bestFit="1" customWidth="1"/>
    <col min="7" max="7" width="25" bestFit="1" customWidth="1"/>
    <col min="8" max="8" width="16.77734375" bestFit="1" customWidth="1"/>
    <col min="9" max="9" width="12.44140625" bestFit="1" customWidth="1"/>
    <col min="10" max="10" width="18.88671875" bestFit="1" customWidth="1"/>
    <col min="11" max="11" width="19" bestFit="1" customWidth="1"/>
    <col min="12" max="12" width="21.88671875" bestFit="1" customWidth="1"/>
    <col min="13" max="13" width="20.88671875" bestFit="1" customWidth="1"/>
    <col min="14" max="14" width="22.33203125" bestFit="1" customWidth="1"/>
    <col min="15" max="15" width="17.44140625" bestFit="1" customWidth="1"/>
    <col min="16" max="16" width="28.5546875" bestFit="1" customWidth="1"/>
    <col min="17" max="17" width="25" bestFit="1" customWidth="1"/>
    <col min="18" max="18" width="29.109375" bestFit="1" customWidth="1"/>
    <col min="19" max="19" width="22.5546875" bestFit="1" customWidth="1"/>
    <col min="20" max="20" width="22.77734375" bestFit="1" customWidth="1"/>
    <col min="21" max="21" width="31" bestFit="1" customWidth="1"/>
    <col min="22" max="22" width="20.6640625" bestFit="1" customWidth="1"/>
    <col min="23" max="23" width="17.21875" bestFit="1" customWidth="1"/>
  </cols>
  <sheetData>
    <row r="1" spans="1:23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16</v>
      </c>
      <c r="I1" s="1" t="s">
        <v>17</v>
      </c>
      <c r="J1" s="1" t="s">
        <v>42</v>
      </c>
      <c r="K1" s="1" t="s">
        <v>18</v>
      </c>
      <c r="L1" s="1" t="s">
        <v>41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35</v>
      </c>
      <c r="U1" s="1" t="s">
        <v>13</v>
      </c>
      <c r="V1" s="1" t="s">
        <v>14</v>
      </c>
      <c r="W1" s="1" t="s">
        <v>37</v>
      </c>
    </row>
    <row r="2" spans="1:23" s="3" customFormat="1" x14ac:dyDescent="0.3">
      <c r="A2" s="3">
        <v>340</v>
      </c>
      <c r="B2" s="4">
        <v>45877</v>
      </c>
      <c r="C2" s="3" t="s">
        <v>31</v>
      </c>
      <c r="D2" s="3" t="s">
        <v>32</v>
      </c>
      <c r="E2" s="3" t="s">
        <v>36</v>
      </c>
      <c r="F2" s="3">
        <v>1</v>
      </c>
      <c r="G2" s="3">
        <v>3.05</v>
      </c>
      <c r="H2" s="3">
        <v>1.85</v>
      </c>
      <c r="I2" s="3">
        <f>Tabela1[[#This Row],[Comprimento]]*Tabela1[[#This Row],[Altura]]</f>
        <v>5.6425000000000001</v>
      </c>
      <c r="J2" s="3">
        <f>Tabela1[[#This Row],[M²]]*Tabela1[[#This Row],[Quantidade]]</f>
        <v>5.6425000000000001</v>
      </c>
      <c r="K2" s="7">
        <v>699</v>
      </c>
      <c r="L2" s="7">
        <f>Tabela1[[#This Row],[M²]]*Tabela1[[#This Row],[Valor M²]]</f>
        <v>3944.1075000000001</v>
      </c>
      <c r="M2" s="7">
        <v>144.11000000000001</v>
      </c>
      <c r="N2" s="8">
        <f>(Tabela1[[#This Row],[V. Unitario]]*Tabela1[[#This Row],[Quantidade]])-Tabela1[[#This Row],[Desconto]]</f>
        <v>3799.9974999999999</v>
      </c>
      <c r="O2" s="3" t="s">
        <v>34</v>
      </c>
      <c r="P2" s="4">
        <v>45881</v>
      </c>
      <c r="R2" s="4">
        <v>45881</v>
      </c>
      <c r="S2" s="7">
        <v>3800</v>
      </c>
      <c r="T2" s="9">
        <f>Tabela1[[#This Row],[Valor Total]]-Tabela1[[#This Row],[Valor Pago]]</f>
        <v>-2.5000000000545697E-3</v>
      </c>
      <c r="U2" s="3" t="s">
        <v>33</v>
      </c>
      <c r="V2" s="7">
        <f>IF(Tabela1[[#This Row],[Categoria]]="Insumos",Tabela1[[#This Row],[Valor Total]]*5%,IF(Tabela1[[#This Row],[Categoria]]="Chapas",Tabela1[[#This Row],[Valor Total]]*1%,0))</f>
        <v>37.999974999999999</v>
      </c>
      <c r="W2" s="10" t="s">
        <v>38</v>
      </c>
    </row>
    <row r="3" spans="1:23" x14ac:dyDescent="0.3">
      <c r="A3" s="3">
        <v>341</v>
      </c>
      <c r="B3" s="4">
        <v>45880</v>
      </c>
      <c r="C3" s="3" t="s">
        <v>39</v>
      </c>
      <c r="D3" s="3" t="s">
        <v>40</v>
      </c>
      <c r="E3" s="3" t="s">
        <v>36</v>
      </c>
      <c r="F3" s="3">
        <v>3</v>
      </c>
      <c r="G3" s="3">
        <v>3.36</v>
      </c>
      <c r="H3" s="3">
        <v>2.0099999999999998</v>
      </c>
      <c r="I3" s="3">
        <f>Tabela1[[#This Row],[Comprimento]]*Tabela1[[#This Row],[Altura]]</f>
        <v>6.7535999999999987</v>
      </c>
      <c r="J3" s="3">
        <f>Tabela1[[#This Row],[M²]]*Tabela1[[#This Row],[Quantidade]]</f>
        <v>20.260799999999996</v>
      </c>
      <c r="K3" s="7">
        <v>559.9</v>
      </c>
      <c r="L3" s="7">
        <f>Tabela1[[#This Row],[M²]]*Tabela1[[#This Row],[Valor M²]]</f>
        <v>3781.340639999999</v>
      </c>
      <c r="M3" s="7">
        <v>0</v>
      </c>
      <c r="N3" s="8">
        <f>(Tabela1[[#This Row],[V. Unitario]]*Tabela1[[#This Row],[Quantidade]])-Tabela1[[#This Row],[Desconto]]</f>
        <v>11344.021919999997</v>
      </c>
      <c r="O3" s="3" t="s">
        <v>43</v>
      </c>
      <c r="P3" s="4"/>
      <c r="Q3" s="3"/>
      <c r="R3" s="4"/>
      <c r="S3" s="7"/>
      <c r="T3" s="9">
        <f>Tabela1[[#This Row],[Valor Total]]-Tabela1[[#This Row],[Valor Pago]]</f>
        <v>11344.021919999997</v>
      </c>
      <c r="U3" s="3"/>
      <c r="V3" s="7">
        <f>IF(Tabela1[[#This Row],[Categoria]]="Insumos",Tabela1[[#This Row],[Valor Total]]*5%,IF(Tabela1[[#This Row],[Categoria]]="Chapas",Tabela1[[#This Row],[Valor Total]]*1%,0))</f>
        <v>113.44021919999997</v>
      </c>
      <c r="W3" s="10" t="s">
        <v>38</v>
      </c>
    </row>
    <row r="4" spans="1:23" x14ac:dyDescent="0.3">
      <c r="A4" s="3">
        <v>341</v>
      </c>
      <c r="B4" s="4">
        <v>45880</v>
      </c>
      <c r="C4" s="3" t="s">
        <v>39</v>
      </c>
      <c r="D4" s="3" t="s">
        <v>40</v>
      </c>
      <c r="E4" s="3" t="s">
        <v>36</v>
      </c>
      <c r="F4" s="3">
        <v>2</v>
      </c>
      <c r="G4" s="3">
        <v>3.12</v>
      </c>
      <c r="H4" s="3">
        <v>2</v>
      </c>
      <c r="I4" s="3">
        <f>Tabela1[[#This Row],[Comprimento]]*Tabela1[[#This Row],[Altura]]</f>
        <v>6.24</v>
      </c>
      <c r="J4" s="12">
        <f>Tabela1[[#This Row],[M²]]*Tabela1[[#This Row],[Quantidade]]</f>
        <v>12.48</v>
      </c>
      <c r="K4" s="7">
        <v>525</v>
      </c>
      <c r="L4" s="13">
        <f>Tabela1[[#This Row],[M²]]*Tabela1[[#This Row],[Valor M²]]</f>
        <v>3276</v>
      </c>
      <c r="M4" s="7">
        <v>200</v>
      </c>
      <c r="N4" s="8">
        <f>(Tabela1[[#This Row],[V. Unitario]]*Tabela1[[#This Row],[Quantidade]])-Tabela1[[#This Row],[Desconto]]</f>
        <v>6352</v>
      </c>
      <c r="O4" s="3" t="s">
        <v>43</v>
      </c>
      <c r="P4" s="4"/>
      <c r="Q4" s="3"/>
      <c r="R4" s="4"/>
      <c r="S4" s="7"/>
      <c r="T4" s="9">
        <f>Tabela1[[#This Row],[Valor Total]]-Tabela1[[#This Row],[Valor Pago]]</f>
        <v>6352</v>
      </c>
      <c r="U4" s="3"/>
      <c r="V4" s="7">
        <f>IF(Tabela1[[#This Row],[Categoria]]="Insumos",Tabela1[[#This Row],[Valor Total]]*5%,IF(Tabela1[[#This Row],[Categoria]]="Chapas",Tabela1[[#This Row],[Valor Total]]*1%,0))</f>
        <v>63.52</v>
      </c>
      <c r="W4" s="10" t="s">
        <v>38</v>
      </c>
    </row>
    <row r="5" spans="1:23" x14ac:dyDescent="0.3">
      <c r="A5" s="3">
        <v>342</v>
      </c>
      <c r="B5" s="4">
        <v>45881</v>
      </c>
      <c r="C5" s="3" t="s">
        <v>31</v>
      </c>
      <c r="D5" s="3" t="s">
        <v>44</v>
      </c>
      <c r="E5" s="3" t="s">
        <v>36</v>
      </c>
      <c r="F5" s="3">
        <v>1</v>
      </c>
      <c r="G5" s="3">
        <v>3.22</v>
      </c>
      <c r="H5" s="3">
        <v>1.62</v>
      </c>
      <c r="I5" s="3">
        <f>Tabela1[[#This Row],[Comprimento]]*Tabela1[[#This Row],[Altura]]</f>
        <v>5.216400000000001</v>
      </c>
      <c r="J5" s="12">
        <f>Tabela1[[#This Row],[M²]]*Tabela1[[#This Row],[Quantidade]]</f>
        <v>5.216400000000001</v>
      </c>
      <c r="K5" s="7">
        <v>400</v>
      </c>
      <c r="L5" s="13">
        <f>Tabela1[[#This Row],[M²]]*Tabela1[[#This Row],[Valor M²]]</f>
        <v>2086.5600000000004</v>
      </c>
      <c r="M5" s="7">
        <v>0</v>
      </c>
      <c r="N5" s="8">
        <f>(Tabela1[[#This Row],[V. Unitario]]*Tabela1[[#This Row],[Quantidade]])-Tabela1[[#This Row],[Desconto]]</f>
        <v>2086.5600000000004</v>
      </c>
      <c r="O5" s="3" t="s">
        <v>34</v>
      </c>
      <c r="P5" s="4">
        <v>45881</v>
      </c>
      <c r="Q5" s="3"/>
      <c r="R5" s="4">
        <v>45881</v>
      </c>
      <c r="S5" s="7">
        <v>2086.56</v>
      </c>
      <c r="T5" s="9">
        <f>Tabela1[[#This Row],[Valor Total]]-Tabela1[[#This Row],[Valor Pago]]</f>
        <v>0</v>
      </c>
      <c r="U5" s="3" t="s">
        <v>33</v>
      </c>
      <c r="V5" s="7">
        <f>IF(Tabela1[[#This Row],[Categoria]]="Insumos",Tabela1[[#This Row],[Valor Total]]*5%,IF(Tabela1[[#This Row],[Categoria]]="Chapas",Tabela1[[#This Row],[Valor Total]]*1%,0))</f>
        <v>20.865600000000004</v>
      </c>
      <c r="W5" s="10" t="s">
        <v>38</v>
      </c>
    </row>
    <row r="6" spans="1:23" x14ac:dyDescent="0.3">
      <c r="A6" s="3"/>
      <c r="B6" s="4"/>
      <c r="C6" s="3"/>
      <c r="D6" s="3"/>
      <c r="E6" s="3"/>
      <c r="F6" s="3"/>
      <c r="G6" s="3"/>
      <c r="H6" s="3"/>
      <c r="I6" s="3">
        <f>Tabela1[[#This Row],[Comprimento]]*Tabela1[[#This Row],[Altura]]</f>
        <v>0</v>
      </c>
      <c r="J6" s="12">
        <f>Tabela1[[#This Row],[M²]]*Tabela1[[#This Row],[Quantidade]]</f>
        <v>0</v>
      </c>
      <c r="K6" s="7"/>
      <c r="L6" s="13">
        <f>Tabela1[[#This Row],[M²]]*Tabela1[[#This Row],[Valor M²]]</f>
        <v>0</v>
      </c>
      <c r="M6" s="7"/>
      <c r="N6" s="8">
        <f>(Tabela1[[#This Row],[V. Unitario]]*Tabela1[[#This Row],[Quantidade]])-Tabela1[[#This Row],[Desconto]]</f>
        <v>0</v>
      </c>
      <c r="O6" s="3"/>
      <c r="P6" s="4"/>
      <c r="Q6" s="3"/>
      <c r="R6" s="4"/>
      <c r="S6" s="7"/>
      <c r="T6" s="9">
        <f>Tabela1[[#This Row],[Valor Total]]-Tabela1[[#This Row],[Valor Pago]]</f>
        <v>0</v>
      </c>
      <c r="U6" s="3"/>
      <c r="V6" s="7">
        <f>IF(Tabela1[[#This Row],[Categoria]]="Insumos",Tabela1[[#This Row],[Valor Total]]*5%,IF(Tabela1[[#This Row],[Categoria]]="Chapas",Tabela1[[#This Row],[Valor Total]]*1%,0))</f>
        <v>0</v>
      </c>
      <c r="W6" s="10"/>
    </row>
  </sheetData>
  <phoneticPr fontId="5" type="noConversion"/>
  <dataValidations count="3">
    <dataValidation type="list" allowBlank="1" showInputMessage="1" showErrorMessage="1" sqref="O2:O6" xr:uid="{43680E70-4C5C-4CB7-B775-04B9B5807A75}">
      <formula1>"Orçamento enviado,Aguardando aprovação,Aprovado,Produção,Entregue,Cancelado"</formula1>
    </dataValidation>
    <dataValidation type="list" allowBlank="1" showInputMessage="1" showErrorMessage="1" sqref="U2:U6" xr:uid="{D9F125AD-8392-4B0D-AB8C-098105E680E1}">
      <formula1>"Pix,Cartão,Dinheiro,Transferência,Boleto,Cheque"</formula1>
    </dataValidation>
    <dataValidation type="list" allowBlank="1" showInputMessage="1" showErrorMessage="1" sqref="E2:E6" xr:uid="{0960BC7B-B1C8-4D3F-9D0B-FF189F518AF2}">
      <formula1>"Chapas,Insumos"</formula1>
    </dataValidation>
  </dataValidations>
  <hyperlinks>
    <hyperlink ref="W2" r:id="rId1" xr:uid="{0873DAC4-560D-4255-A0B2-017662A395DD}"/>
    <hyperlink ref="W3" r:id="rId2" xr:uid="{A758B8C6-A958-422C-8E32-BF031553E5F7}"/>
    <hyperlink ref="W4" r:id="rId3" xr:uid="{B1EC6BBC-5AD1-45C2-90D7-4C7220AF04C3}"/>
    <hyperlink ref="W5" r:id="rId4" xr:uid="{9ABB83C7-3D1E-44E8-A0C8-9B18C163D025}"/>
  </hyperlinks>
  <pageMargins left="0.511811024" right="0.511811024" top="0.78740157499999996" bottom="0.78740157499999996" header="0.31496062000000002" footer="0.31496062000000002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D5C386-4B43-4513-A46E-EF4946BB6461}">
          <x14:formula1>
            <xm:f>Clientes!$C$2:$C$3</xm:f>
          </x14:formula1>
          <xm:sqref>C2:C6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E0EBA-022C-423A-A99C-50ABB3D37B1F}">
  <dimension ref="A1:H2"/>
  <sheetViews>
    <sheetView workbookViewId="0">
      <selection activeCell="E26" sqref="E26"/>
    </sheetView>
  </sheetViews>
  <sheetFormatPr defaultRowHeight="14.4" x14ac:dyDescent="0.3"/>
  <cols>
    <col min="1" max="1" width="10.33203125" bestFit="1" customWidth="1"/>
    <col min="2" max="3" width="11.5546875" bestFit="1" customWidth="1"/>
    <col min="4" max="4" width="12.88671875" bestFit="1" customWidth="1"/>
    <col min="5" max="5" width="14" bestFit="1" customWidth="1"/>
    <col min="6" max="6" width="12.88671875" bestFit="1" customWidth="1"/>
    <col min="7" max="7" width="12.44140625" bestFit="1" customWidth="1"/>
    <col min="8" max="8" width="11.88671875" bestFit="1" customWidth="1"/>
  </cols>
  <sheetData>
    <row r="1" spans="1:8" x14ac:dyDescent="0.3">
      <c r="A1" t="s">
        <v>14</v>
      </c>
      <c r="B1" t="s">
        <v>45</v>
      </c>
      <c r="C1" t="s">
        <v>35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8" x14ac:dyDescent="0.3">
      <c r="A2" s="14">
        <f>SUM(Tabela1[Comissão])</f>
        <v>235.82579419999999</v>
      </c>
      <c r="B2" s="15">
        <f>SUM(Tabela1[Valor Pago])</f>
        <v>5886.5599999999995</v>
      </c>
      <c r="C2" s="15">
        <f>SUM(Tabela1[V.Restante])</f>
        <v>17696.019419999997</v>
      </c>
      <c r="D2" s="14">
        <f>SUM(Tabela1[Valor Total])</f>
        <v>23582.579419999998</v>
      </c>
      <c r="E2" s="11">
        <v>100000</v>
      </c>
      <c r="F2" s="14">
        <f>E2-D2</f>
        <v>76417.420580000005</v>
      </c>
      <c r="G2" s="3">
        <f ca="1">_xlfn.DAYS(EOMONTH(TODAY(),0),TODAY())</f>
        <v>19</v>
      </c>
      <c r="H2" s="14">
        <f ca="1">F2/G2</f>
        <v>4021.9695042105268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1A8C-7985-4850-A18F-A5A1326864BD}">
  <dimension ref="A1:F3"/>
  <sheetViews>
    <sheetView showGridLines="0" workbookViewId="0">
      <selection activeCell="C3" sqref="C3"/>
    </sheetView>
  </sheetViews>
  <sheetFormatPr defaultRowHeight="14.4" x14ac:dyDescent="0.3"/>
  <cols>
    <col min="1" max="1" width="12.88671875" bestFit="1" customWidth="1"/>
    <col min="2" max="2" width="11" bestFit="1" customWidth="1"/>
    <col min="3" max="3" width="23.88671875" bestFit="1" customWidth="1"/>
    <col min="4" max="5" width="17.6640625" bestFit="1" customWidth="1"/>
    <col min="6" max="6" width="10.44140625" bestFit="1" customWidth="1"/>
  </cols>
  <sheetData>
    <row r="1" spans="1:6" x14ac:dyDescent="0.3">
      <c r="A1" t="s">
        <v>19</v>
      </c>
      <c r="B1" t="s">
        <v>20</v>
      </c>
      <c r="C1" t="s">
        <v>30</v>
      </c>
      <c r="D1" t="s">
        <v>21</v>
      </c>
      <c r="E1" t="s">
        <v>22</v>
      </c>
      <c r="F1" t="s">
        <v>27</v>
      </c>
    </row>
    <row r="2" spans="1:6" x14ac:dyDescent="0.3">
      <c r="A2" t="s">
        <v>23</v>
      </c>
      <c r="B2" t="s">
        <v>24</v>
      </c>
      <c r="C2" t="str">
        <f>_xlfn.CONCAT(Tabela2[[#This Row],[Marmoraria]],"/",Tabela2[[#This Row],[Nome]])</f>
        <v>Granimarmore/Camila Baldi</v>
      </c>
      <c r="D2" s="6">
        <v>5511972880856</v>
      </c>
      <c r="E2" s="5">
        <v>4067773000102</v>
      </c>
      <c r="F2" t="s">
        <v>28</v>
      </c>
    </row>
    <row r="3" spans="1:6" x14ac:dyDescent="0.3">
      <c r="A3" t="s">
        <v>25</v>
      </c>
      <c r="B3" t="s">
        <v>26</v>
      </c>
      <c r="C3" t="str">
        <f>_xlfn.CONCAT(Tabela2[[#This Row],[Marmoraria]],"/",Tabela2[[#This Row],[Nome]])</f>
        <v>JG Marmores/Debóra</v>
      </c>
      <c r="D3" s="6">
        <v>5519999738232</v>
      </c>
      <c r="E3" s="5"/>
      <c r="F3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Livro Caixa</vt:lpstr>
      <vt:lpstr>Apoio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feliphe nunes silva</dc:creator>
  <cp:lastModifiedBy>feliphe nunes silva</cp:lastModifiedBy>
  <dcterms:created xsi:type="dcterms:W3CDTF">2025-08-12T23:13:35Z</dcterms:created>
  <dcterms:modified xsi:type="dcterms:W3CDTF">2025-08-13T01:01:37Z</dcterms:modified>
</cp:coreProperties>
</file>