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F:\Seismicity Contract (12.05.21)\Phase 3\Website\"/>
    </mc:Choice>
  </mc:AlternateContent>
  <xr:revisionPtr revIDLastSave="0" documentId="13_ncr:1_{1E95B818-D48D-4267-9D87-FFF19E3EEA2F}" xr6:coauthVersionLast="47" xr6:coauthVersionMax="47" xr10:uidLastSave="{00000000-0000-0000-0000-000000000000}"/>
  <bookViews>
    <workbookView xWindow="-120" yWindow="-120" windowWidth="20730" windowHeight="11160" xr2:uid="{00000000-000D-0000-FFFF-FFFF00000000}"/>
  </bookViews>
  <sheets>
    <sheet name="HiQuake" sheetId="19"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283" i="19" l="1"/>
  <c r="AC1280" i="19"/>
  <c r="AC1279" i="19"/>
  <c r="AC1260" i="19"/>
  <c r="AC1255" i="19"/>
  <c r="AC1249" i="19"/>
  <c r="AC1217" i="19"/>
  <c r="AC1173" i="19"/>
  <c r="AC1166" i="19"/>
  <c r="AC1158" i="19"/>
  <c r="AC1157" i="19"/>
  <c r="AC1104" i="19"/>
  <c r="AA1068" i="19"/>
  <c r="AA1067" i="19"/>
  <c r="AA1066" i="19"/>
  <c r="AA1064" i="19"/>
  <c r="AA1063" i="19"/>
  <c r="AA1056" i="19"/>
  <c r="AC1055" i="19"/>
  <c r="AA1055" i="19"/>
  <c r="AA1054" i="19"/>
  <c r="AA1052" i="19"/>
  <c r="AA1050" i="19"/>
  <c r="AA1048" i="19"/>
  <c r="AA1044" i="19"/>
  <c r="AC1043" i="19"/>
  <c r="AA1043" i="19"/>
  <c r="AA1042" i="19"/>
  <c r="AA1038" i="19"/>
  <c r="AA1037" i="19"/>
  <c r="AA1036" i="19"/>
  <c r="AA1035" i="19"/>
  <c r="AC1034" i="19"/>
  <c r="AA1034" i="19"/>
  <c r="AA1033" i="19"/>
  <c r="AA1032" i="19"/>
  <c r="AA1031" i="19"/>
  <c r="AE1030" i="19"/>
  <c r="AA1030" i="19"/>
  <c r="AA1028" i="19"/>
  <c r="AA1026" i="19"/>
  <c r="AC1025" i="19"/>
  <c r="AA1025" i="19"/>
  <c r="AA1024" i="19"/>
  <c r="AA1022" i="19"/>
  <c r="AA1021" i="19"/>
  <c r="AA1020" i="19"/>
  <c r="AA1017" i="19"/>
  <c r="AC1014" i="19"/>
  <c r="AA1013" i="19"/>
  <c r="AA1011" i="19"/>
  <c r="AA1007" i="19"/>
  <c r="AA1006" i="19"/>
  <c r="AA1005" i="19"/>
  <c r="AA1004" i="19"/>
  <c r="AC1001" i="19"/>
  <c r="AA1001" i="19"/>
  <c r="AG1000" i="19"/>
  <c r="L721" i="19"/>
  <c r="AC675" i="19"/>
  <c r="AA667" i="19"/>
  <c r="AA640" i="19"/>
  <c r="AC638" i="19"/>
  <c r="AA632" i="19"/>
  <c r="AA630" i="19"/>
  <c r="AC629" i="19"/>
  <c r="AA626" i="19"/>
  <c r="AA624" i="19"/>
  <c r="AA615" i="19"/>
  <c r="AA612" i="19"/>
  <c r="AA609" i="19"/>
  <c r="AA607" i="19"/>
  <c r="AA593" i="19"/>
  <c r="AA580" i="19"/>
  <c r="AA567" i="19"/>
  <c r="AA310" i="19"/>
  <c r="AA308" i="19"/>
  <c r="AC307" i="19"/>
  <c r="AC306" i="19"/>
  <c r="AA306" i="19"/>
  <c r="AC257" i="19"/>
  <c r="AA257" i="19"/>
  <c r="AA174" i="19"/>
  <c r="AC137" i="19"/>
  <c r="AC128" i="19"/>
  <c r="L128" i="19"/>
  <c r="AC112" i="19"/>
  <c r="L112" i="19"/>
  <c r="AC48" i="19"/>
  <c r="AC35" i="19"/>
  <c r="AC33" i="19"/>
  <c r="AC23" i="19"/>
  <c r="AA18" i="19"/>
  <c r="AA14" i="19"/>
  <c r="AC11" i="19"/>
</calcChain>
</file>

<file path=xl/sharedStrings.xml><?xml version="1.0" encoding="utf-8"?>
<sst xmlns="http://schemas.openxmlformats.org/spreadsheetml/2006/main" count="11017" uniqueCount="2883">
  <si>
    <t>Country</t>
  </si>
  <si>
    <t>Earthquake cause (main class)</t>
  </si>
  <si>
    <t>Earthquake cause (subclass)</t>
  </si>
  <si>
    <t>Project name</t>
  </si>
  <si>
    <t>Latitude (approximate)</t>
  </si>
  <si>
    <t>Longitude (approximate)</t>
  </si>
  <si>
    <t>Project start date</t>
  </si>
  <si>
    <t>Project end date</t>
  </si>
  <si>
    <t>Seismicity or monitoring start date</t>
  </si>
  <si>
    <t>Seismicity or monitoring end date</t>
  </si>
  <si>
    <t>Time between project start and initiation of seismicity</t>
  </si>
  <si>
    <t>Number of recorded earthquakes</t>
  </si>
  <si>
    <t>Observed maximum magnitude (Mmax)</t>
  </si>
  <si>
    <t>Magnitude type for Mmax</t>
  </si>
  <si>
    <t>Depth of Mmax (m)</t>
  </si>
  <si>
    <t>Date of Mmax (yyyy/mm/dd)</t>
  </si>
  <si>
    <t>Year of Mmax</t>
  </si>
  <si>
    <t>Distance of Mmax to project (m)</t>
  </si>
  <si>
    <t>Maximum distance of earthquakes to project (m)</t>
  </si>
  <si>
    <t>Lithology/Resource</t>
  </si>
  <si>
    <t>Depth of most seismicity (m)</t>
  </si>
  <si>
    <t>Depth of project (m)</t>
  </si>
  <si>
    <t>Tectonic setting</t>
  </si>
  <si>
    <t>Notable previous seismicity</t>
  </si>
  <si>
    <t>Dam height (m)</t>
  </si>
  <si>
    <t>Maximum injection/extraction rate (max unless stated)</t>
  </si>
  <si>
    <t>Rate units</t>
  </si>
  <si>
    <t>Total volume or mass of material injected/extracted</t>
  </si>
  <si>
    <t>Volume or mass units</t>
  </si>
  <si>
    <t>Maximum injection pressure (MPa)</t>
  </si>
  <si>
    <t>Change in reservoir pressure (MPa)</t>
  </si>
  <si>
    <t>Stress change (MPa)</t>
  </si>
  <si>
    <t>Notes</t>
  </si>
  <si>
    <t>Reference(s)</t>
  </si>
  <si>
    <t>Algeria</t>
  </si>
  <si>
    <t>CCS</t>
  </si>
  <si>
    <t>CO2 injection</t>
  </si>
  <si>
    <t>In Salah</t>
  </si>
  <si>
    <t>2009 (August)</t>
  </si>
  <si>
    <t>2011 (June)</t>
  </si>
  <si>
    <t>MW</t>
  </si>
  <si>
    <t>Sandstone</t>
  </si>
  <si>
    <t>1650-1750</t>
  </si>
  <si>
    <t>1850-1950</t>
  </si>
  <si>
    <t>Intraplate</t>
  </si>
  <si>
    <t>mcf/day</t>
  </si>
  <si>
    <t>3850000 (as of 2013), 3500000 (m3)</t>
  </si>
  <si>
    <t>tonnes</t>
  </si>
  <si>
    <t>12 (modelled)</t>
  </si>
  <si>
    <t>Injection into gas field but no apparent connection between water leg and produced gas cap. Volume assuming liquid CO2 density of 1100 kg/m3</t>
  </si>
  <si>
    <t>Oye et al. (2013), Stork et al. (2015), Verdon et al. (2013)</t>
  </si>
  <si>
    <t>USA</t>
  </si>
  <si>
    <t>2011 (November)</t>
  </si>
  <si>
    <t>2014 (November)</t>
  </si>
  <si>
    <t>2013 (July)</t>
  </si>
  <si>
    <t>2014 (December)</t>
  </si>
  <si>
    <t>1900-2700</t>
  </si>
  <si>
    <t>2100-2560</t>
  </si>
  <si>
    <t>kg/s</t>
  </si>
  <si>
    <t>Volume assuming liquid CO2 density of 1100 kg/m3</t>
  </si>
  <si>
    <t>Kaven et al. (2015)</t>
  </si>
  <si>
    <t>UK</t>
  </si>
  <si>
    <t>Construction</t>
  </si>
  <si>
    <t>Coastal engineering (geoengineering)</t>
  </si>
  <si>
    <t>Folkestone</t>
  </si>
  <si>
    <t>ML</t>
  </si>
  <si>
    <t>Sand</t>
  </si>
  <si>
    <t>kg</t>
  </si>
  <si>
    <t>0.001-0.03</t>
  </si>
  <si>
    <t>Samphire Hoe a much more likely trigger as larger mass than shingle accumulation</t>
  </si>
  <si>
    <t>Klose (2007a)</t>
  </si>
  <si>
    <t>Taipei 101</t>
  </si>
  <si>
    <t>15 in 5 year construction, 3 aftershocks</t>
  </si>
  <si>
    <t>Convergent</t>
  </si>
  <si>
    <t>258138 (proxy)</t>
  </si>
  <si>
    <t>Assume steel density of 8000 kg/m3</t>
  </si>
  <si>
    <t>Uzbekistan</t>
  </si>
  <si>
    <t>Conventional Oil and Gas</t>
  </si>
  <si>
    <t>Gas extraction and storage</t>
  </si>
  <si>
    <t>Gazli</t>
  </si>
  <si>
    <t xml:space="preserve">3, M7 (1976) and M7.2 (1984) </t>
  </si>
  <si>
    <t>M</t>
  </si>
  <si>
    <t>10000-20000</t>
  </si>
  <si>
    <t>1400-1600</t>
  </si>
  <si>
    <t>7.1--&gt;1.5, -5.6</t>
  </si>
  <si>
    <t>Grasso (1992), Klose (2013), Mirzoev et al. (2009), Simpson and Leith (1985)</t>
  </si>
  <si>
    <t>Oil extraction and Secondary recovery (water injection)</t>
  </si>
  <si>
    <t>Coalinga, California</t>
  </si>
  <si>
    <t>1900s</t>
  </si>
  <si>
    <t>4000-13000</t>
  </si>
  <si>
    <t>Transform</t>
  </si>
  <si>
    <t>270000000 (net extracted)</t>
  </si>
  <si>
    <t>m3</t>
  </si>
  <si>
    <t>23--&gt;11, -12</t>
  </si>
  <si>
    <t>Possible triggered</t>
  </si>
  <si>
    <t>Oil extraction</t>
  </si>
  <si>
    <t>Nicholson (1992)</t>
  </si>
  <si>
    <t>Kettleman North Dome, California</t>
  </si>
  <si>
    <t>1490-1510</t>
  </si>
  <si>
    <t>123000000 (net extracted)</t>
  </si>
  <si>
    <t>Grasso (1992), Klose (2013), McGarr (1991)</t>
  </si>
  <si>
    <t>Turkmenistan</t>
  </si>
  <si>
    <t>Barsa-Gelmes-Vishka</t>
  </si>
  <si>
    <t>Complex/Uncertain</t>
  </si>
  <si>
    <t>Kouznetsov et al. (1995)</t>
  </si>
  <si>
    <t>Montebello (Whittier Narrows), California</t>
  </si>
  <si>
    <t>135000000 (net extracted)</t>
  </si>
  <si>
    <t>Grasso (1992), Klose (2013), McGarr (1991), Nicholson (1992)</t>
  </si>
  <si>
    <t>Italy</t>
  </si>
  <si>
    <t>Gas extraction</t>
  </si>
  <si>
    <t>Caviaga, Po Valley</t>
  </si>
  <si>
    <t>Very speculative. Further work has suggested earthquakes were not induced (Caciagli et al., 2015)</t>
  </si>
  <si>
    <t>Caloi et al. (1956), Klose (2013), Suckale (2009)</t>
  </si>
  <si>
    <t>Secondary recovery (water injection)</t>
  </si>
  <si>
    <t>Cogdell Field, Texas</t>
  </si>
  <si>
    <t>1956 (April)</t>
  </si>
  <si>
    <t>Carbonate</t>
  </si>
  <si>
    <t>190.3 (production), 253. 7 (injection)</t>
  </si>
  <si>
    <t>L/s</t>
  </si>
  <si>
    <t>77000000 (produced), 113800000 (injected), 36800000 (net injected)</t>
  </si>
  <si>
    <t>-13.6, 21.7</t>
  </si>
  <si>
    <t>El Reno, Oklahoma</t>
  </si>
  <si>
    <t>1910s</t>
  </si>
  <si>
    <t>Canada</t>
  </si>
  <si>
    <t>Snipe Lake, Alberta</t>
  </si>
  <si>
    <t>Milne and Berry (1976), Nicholson (1992)</t>
  </si>
  <si>
    <t>Wilmington, California</t>
  </si>
  <si>
    <t>Playa del Rey (Venice) oil field</t>
  </si>
  <si>
    <t>Brewton (Big Escambia Creek, Little Rock, and Sizemore Creek fields), Alabama</t>
  </si>
  <si>
    <t>3.1 MW foreshock, &gt;17 aftershocks</t>
  </si>
  <si>
    <t>Carbonate and Sandstone</t>
  </si>
  <si>
    <t>2000-6000</t>
  </si>
  <si>
    <t>2000-4500</t>
  </si>
  <si>
    <t>Gomberg and Wolf (1999), Klose (2013)</t>
  </si>
  <si>
    <t>Richland County, Illinois</t>
  </si>
  <si>
    <t>Fashing, Texas</t>
  </si>
  <si>
    <t>16000000000 (for mbLG 4.3 9/4/1993)</t>
  </si>
  <si>
    <t>35--&gt;7, -28 (for mbLG 4.3 9/4/1993)</t>
  </si>
  <si>
    <t>Davis et al. (1995), Frohlich and Brunt (2013), Nicholson and Wesson (1992)</t>
  </si>
  <si>
    <t>Kuwait</t>
  </si>
  <si>
    <t>Oil extraction and Burning</t>
  </si>
  <si>
    <t>Minagish/Umm Gudair oil fields (for largest eq)</t>
  </si>
  <si>
    <t>465, 0.3≤ML≤4.3 (March 1997-October 2007)</t>
  </si>
  <si>
    <t>2100-31000</t>
  </si>
  <si>
    <t>Al-Enezi et al. (2008), Bou-Rabee (1994), Bou-Rabee and Nur (2002)</t>
  </si>
  <si>
    <t>East Texas (Gladewater), Texas</t>
  </si>
  <si>
    <t>-10.3, 8.3</t>
  </si>
  <si>
    <t>Frohlich and Davis (2002), Nicholson (1992), Nicholson and Wesson (1992)</t>
  </si>
  <si>
    <t>Santa Fe Springs oil field</t>
  </si>
  <si>
    <t>Russia</t>
  </si>
  <si>
    <t>Starogroznenskoe</t>
  </si>
  <si>
    <t>1700-9000</t>
  </si>
  <si>
    <t>Catoosa, Oklahoma</t>
  </si>
  <si>
    <t>China</t>
  </si>
  <si>
    <t>Renqiu</t>
  </si>
  <si>
    <t>1975 (oil production), 1976 (July) (water injection)</t>
  </si>
  <si>
    <t>1976 (December)</t>
  </si>
  <si>
    <t>300, 1977 (March) to 1987</t>
  </si>
  <si>
    <t>3000-5000</t>
  </si>
  <si>
    <t>3000-4200</t>
  </si>
  <si>
    <t>&gt;14500000</t>
  </si>
  <si>
    <t>Oil and gas extraction</t>
  </si>
  <si>
    <t>Gudermes</t>
  </si>
  <si>
    <t>NRC (2013), Suckale (2009)</t>
  </si>
  <si>
    <t>Germany</t>
  </si>
  <si>
    <t>1980s</t>
  </si>
  <si>
    <t>5000-7000</t>
  </si>
  <si>
    <t>4500-5000</t>
  </si>
  <si>
    <t>-10 (estimated for modelling)</t>
  </si>
  <si>
    <t>EOR (CO2 injection)</t>
  </si>
  <si>
    <t>2006 (August and September) had anomalously high injection rates</t>
  </si>
  <si>
    <t>Gan and Frohlich (2013)</t>
  </si>
  <si>
    <t>Spain</t>
  </si>
  <si>
    <t>Gas storage</t>
  </si>
  <si>
    <t>Castor</t>
  </si>
  <si>
    <t>&lt;2000</t>
  </si>
  <si>
    <t>&lt;10000</t>
  </si>
  <si>
    <t>Cesca et al. (2014)</t>
  </si>
  <si>
    <t>Eagle/Eagle West</t>
  </si>
  <si>
    <t>1972/1976, 1980/1985 (significant oil production and secondary recovery)</t>
  </si>
  <si>
    <t>25, 2.2≤M</t>
  </si>
  <si>
    <t>&lt;5000</t>
  </si>
  <si>
    <t>6.9/25.8 (injection), 4.6/15.2 (extraction)</t>
  </si>
  <si>
    <t>1700000 (net extraction up to first earthquakes)</t>
  </si>
  <si>
    <t>25/23</t>
  </si>
  <si>
    <t>Horner et al. (1994)</t>
  </si>
  <si>
    <t>Saudi Arabia</t>
  </si>
  <si>
    <t>Ghawar</t>
  </si>
  <si>
    <t>Mogren and Mukhopadhyay (2013)</t>
  </si>
  <si>
    <t>France</t>
  </si>
  <si>
    <t>Lacq (Arette)</t>
  </si>
  <si>
    <t>1721, 1974-1997</t>
  </si>
  <si>
    <t>1000-6000</t>
  </si>
  <si>
    <t>3200-5000</t>
  </si>
  <si>
    <t>66--&gt;2.3, -63.7</t>
  </si>
  <si>
    <t>Segall et al. (1994), Bardeinne et al. (2008)</t>
  </si>
  <si>
    <t>Secondary recovery</t>
  </si>
  <si>
    <t>Kermit, Texas</t>
  </si>
  <si>
    <t>670-3250</t>
  </si>
  <si>
    <t>-18.5, 22.1</t>
  </si>
  <si>
    <t>Doser et al. (1992), Nicholson (1992), Nicholson and Wesson (1992)</t>
  </si>
  <si>
    <t>Wortham-Mexia, Texas</t>
  </si>
  <si>
    <t>Frohlich and Davis (2002), Frohlich and Potter (2013)</t>
  </si>
  <si>
    <t>Romashkinskoye (Romashkino field), Volga-Ural</t>
  </si>
  <si>
    <t>3000-6000</t>
  </si>
  <si>
    <t>1500-2000</t>
  </si>
  <si>
    <t>Gestermann et al. (2015)</t>
  </si>
  <si>
    <t>Strachan, Alberta</t>
  </si>
  <si>
    <t>Nicholson (1992), Nicholson and Wesson (1992)</t>
  </si>
  <si>
    <t>Oil and Gas extraction and Secondary recovery (water injection)</t>
  </si>
  <si>
    <t>Imogene (Pleasanton), Texas</t>
  </si>
  <si>
    <t>1944 (oil production), 1972 (water flood)</t>
  </si>
  <si>
    <t>2000-3000</t>
  </si>
  <si>
    <t>720000 (oil extracted), 190000000 (gas extracted), 54700 (water injected)</t>
  </si>
  <si>
    <t>25--&gt;15, -10</t>
  </si>
  <si>
    <t>Davis et al. (1995), Klose (2013), Nicholson (1992), Nicholson and Wesson (1992)</t>
  </si>
  <si>
    <t>Oil and Gas extraction</t>
  </si>
  <si>
    <t>Alice (Stratton field), Texas</t>
  </si>
  <si>
    <t>mbLG</t>
  </si>
  <si>
    <t>1000-3000</t>
  </si>
  <si>
    <t>15898251 (oil extracted), 76455485798 (gas)</t>
  </si>
  <si>
    <t>Uncertain if anthropogenic</t>
  </si>
  <si>
    <t>Frohlich et al. (2012)</t>
  </si>
  <si>
    <t>Production and Secondary recovery</t>
  </si>
  <si>
    <t>Inglewood, California</t>
  </si>
  <si>
    <t>1924 (production), 1954 (injection)</t>
  </si>
  <si>
    <t>-3.9, 10</t>
  </si>
  <si>
    <t>Klose (2013), Nicholson and Wesson (1992)</t>
  </si>
  <si>
    <t>Falls City, Texas</t>
  </si>
  <si>
    <t>1948 (water injection)</t>
  </si>
  <si>
    <t>mbLg</t>
  </si>
  <si>
    <t>1300-1800</t>
  </si>
  <si>
    <t>3000000 (extracted), 2200000 (injected)</t>
  </si>
  <si>
    <t>Davis et al. (1995), Klose (2013)</t>
  </si>
  <si>
    <t>Gas/Brine extraction and Wastewater (injection)</t>
  </si>
  <si>
    <t>Azle/Reno,Texas</t>
  </si>
  <si>
    <t>2009 (June) (water injection)</t>
  </si>
  <si>
    <t>2013 (November)</t>
  </si>
  <si>
    <t>2014 (January)</t>
  </si>
  <si>
    <t>2000-8000</t>
  </si>
  <si>
    <t>4.6 (Injector 2), 16.7 (Injector 1), 6.6 (brine production from 70 wells)</t>
  </si>
  <si>
    <t>Frohlich et al. (2016), Hornbach et al. (2015)</t>
  </si>
  <si>
    <t>Hunt, Alabama/Mississippi</t>
  </si>
  <si>
    <t>Hutubi, Southern Junggar Basin</t>
  </si>
  <si>
    <t>1998 (extraction), 2013 (storage)</t>
  </si>
  <si>
    <t>2013 (extraction)</t>
  </si>
  <si>
    <t>&gt;700</t>
  </si>
  <si>
    <t>Keystone I&amp;II, Texas</t>
  </si>
  <si>
    <t>900-2930</t>
  </si>
  <si>
    <t>-10, 17.6</t>
  </si>
  <si>
    <t>Netherlands</t>
  </si>
  <si>
    <t>Bergermeer (Alkmaar)</t>
  </si>
  <si>
    <t>22 years</t>
  </si>
  <si>
    <t>&lt;6000</t>
  </si>
  <si>
    <t>Grünthal (2014), van Eck et al. (2006)</t>
  </si>
  <si>
    <t>East Durant, Oklahoma</t>
  </si>
  <si>
    <t>Oil extraction and Stimulation</t>
  </si>
  <si>
    <t>Orcutt, California</t>
  </si>
  <si>
    <t>Diatomite</t>
  </si>
  <si>
    <t>Dollarhide, Texas/New Mexico</t>
  </si>
  <si>
    <t>Chert</t>
  </si>
  <si>
    <t>-16.5, 13.5</t>
  </si>
  <si>
    <t>Ward-Estes, Texas</t>
  </si>
  <si>
    <t>Groningen</t>
  </si>
  <si>
    <t>28 years</t>
  </si>
  <si>
    <t>179, −0.2≤M≤3</t>
  </si>
  <si>
    <t>2600-3150</t>
  </si>
  <si>
    <t>&gt;1750000000000 (as of 2010)</t>
  </si>
  <si>
    <t>35--&gt;20, -15</t>
  </si>
  <si>
    <t>Dornenbal and Stevenson (2010), Dost and Spetzler (2015), Grasso (1992), van Eck et al. (2006)</t>
  </si>
  <si>
    <t>Gobles, Ontario</t>
  </si>
  <si>
    <t>800-1000</t>
  </si>
  <si>
    <t>Mereu et al. (1986), Nicholson (1992)</t>
  </si>
  <si>
    <t>North Panhandle (Lambert), Texas</t>
  </si>
  <si>
    <t>-1.5, 2.1</t>
  </si>
  <si>
    <t>Roswinkel</t>
  </si>
  <si>
    <t>12 years</t>
  </si>
  <si>
    <t>2000-2400</t>
  </si>
  <si>
    <t>van Eck et al. (2006)</t>
  </si>
  <si>
    <t>Oil extraction and Secondary recovery?</t>
  </si>
  <si>
    <t>Grozny, Chechen Republic</t>
  </si>
  <si>
    <t>69--&gt;44, -25</t>
  </si>
  <si>
    <t>Grasso (1992)</t>
  </si>
  <si>
    <t>War-Wink, Texas</t>
  </si>
  <si>
    <t>4000-6000</t>
  </si>
  <si>
    <t>Klose (2013), Nicholson (1992)</t>
  </si>
  <si>
    <t>Ward-South, Texas</t>
  </si>
  <si>
    <t>Dora Roberts, Texas</t>
  </si>
  <si>
    <t>-4.8, 43.1</t>
  </si>
  <si>
    <t>Monahans, Texas</t>
  </si>
  <si>
    <t>-18.5,  20.7</t>
  </si>
  <si>
    <t>Norway</t>
  </si>
  <si>
    <t>Secondary recovery (unintentional water injection into overburden)</t>
  </si>
  <si>
    <t>Ekofisk</t>
  </si>
  <si>
    <t xml:space="preserve">1971 (July) (oil production), 1987 (water injection) </t>
  </si>
  <si>
    <t>&lt;3000</t>
  </si>
  <si>
    <t>1830-2130</t>
  </si>
  <si>
    <t>Injection statistics for injector well 2/4-K-22</t>
  </si>
  <si>
    <t>Sleepy Hollow, Nebraska</t>
  </si>
  <si>
    <t>Assen</t>
  </si>
  <si>
    <t>37--&gt;7, -30</t>
  </si>
  <si>
    <t>Grasso (1992), van Eck et al. (2006)</t>
  </si>
  <si>
    <t>Secondary recovery and Stimulation</t>
  </si>
  <si>
    <t>Love County, Oklahoma</t>
  </si>
  <si>
    <t>1965, 1979</t>
  </si>
  <si>
    <t>Eleveld</t>
  </si>
  <si>
    <t>11 years</t>
  </si>
  <si>
    <t>Middelie</t>
  </si>
  <si>
    <t>14 years</t>
  </si>
  <si>
    <t>Bergen</t>
  </si>
  <si>
    <t>23 years</t>
  </si>
  <si>
    <t>Annerveen</t>
  </si>
  <si>
    <t>21 years</t>
  </si>
  <si>
    <t>Appelscha</t>
  </si>
  <si>
    <t>4 years</t>
  </si>
  <si>
    <t>Dalen</t>
  </si>
  <si>
    <t>Roden</t>
  </si>
  <si>
    <t>20 years</t>
  </si>
  <si>
    <t>Oman</t>
  </si>
  <si>
    <t>Shuiba reservoir</t>
  </si>
  <si>
    <t>500-3500</t>
  </si>
  <si>
    <t>&lt;1420</t>
  </si>
  <si>
    <t>10.12--&gt;7.92, -2.2</t>
  </si>
  <si>
    <t>Sze (2005)</t>
  </si>
  <si>
    <t>Oil and Gas extraction and Secondary recovery</t>
  </si>
  <si>
    <t>Apollo-Hendrick, Texas</t>
  </si>
  <si>
    <t>MD</t>
  </si>
  <si>
    <t>Doser et al. (1992)</t>
  </si>
  <si>
    <t>Secondary recovery and Waste disposal</t>
  </si>
  <si>
    <t>Cold Lake, Alberta</t>
  </si>
  <si>
    <t>Emmen</t>
  </si>
  <si>
    <t>Well collapse/Water injection</t>
  </si>
  <si>
    <t>1996 (August)</t>
  </si>
  <si>
    <t>3200-3600</t>
  </si>
  <si>
    <t>Bardeinne et al. (2006)</t>
  </si>
  <si>
    <t>VriesNoord</t>
  </si>
  <si>
    <t>1996 (December)</t>
  </si>
  <si>
    <t>Mmax is first quake data</t>
  </si>
  <si>
    <t>Suckale (2009), Van Eijis et al. (2006)</t>
  </si>
  <si>
    <t>New Harmony, Indiana</t>
  </si>
  <si>
    <t>1995 (November)</t>
  </si>
  <si>
    <t>1996 (July)</t>
  </si>
  <si>
    <t>1500-3000</t>
  </si>
  <si>
    <t>500-1000</t>
  </si>
  <si>
    <t>Eager et al. (2006)</t>
  </si>
  <si>
    <t>Emmen-Nieuw Amsterdam</t>
  </si>
  <si>
    <t>1994 (September)</t>
  </si>
  <si>
    <t>Czech Republic</t>
  </si>
  <si>
    <t>2-15 per month</t>
  </si>
  <si>
    <t>Granite</t>
  </si>
  <si>
    <t>0-1100</t>
  </si>
  <si>
    <t>Gas stored in man-made mining cavities</t>
  </si>
  <si>
    <t>Schoonebeek</t>
  </si>
  <si>
    <t>2002 (December)</t>
  </si>
  <si>
    <t>Coevorden</t>
  </si>
  <si>
    <t>1997 (February)</t>
  </si>
  <si>
    <t>Ureterp</t>
  </si>
  <si>
    <t>1999 (April)</t>
  </si>
  <si>
    <t>VriesCentraal</t>
  </si>
  <si>
    <t>2000 (July)</t>
  </si>
  <si>
    <t>Seventy Six oil field, Clinton County, Kentucky</t>
  </si>
  <si>
    <t>225-525</t>
  </si>
  <si>
    <t>Rutledge et al. (1998)</t>
  </si>
  <si>
    <t>Bergermeer</t>
  </si>
  <si>
    <t>2013 (October)</t>
  </si>
  <si>
    <t>TNO (2014)</t>
  </si>
  <si>
    <t>Stimulation</t>
  </si>
  <si>
    <t>Hoadley gas field</t>
  </si>
  <si>
    <t>Sandstone (tight)</t>
  </si>
  <si>
    <t>Maghsoudi et al. (2016)</t>
  </si>
  <si>
    <t>Pembina oil field</t>
  </si>
  <si>
    <t>EOR (CO2 injection/part CCS project)</t>
  </si>
  <si>
    <t>Weyburn, Saskatchewan</t>
  </si>
  <si>
    <t>2000 (September)</t>
  </si>
  <si>
    <t>1200-1600</t>
  </si>
  <si>
    <t xml:space="preserve">Max magnitude not certain due to poor figure image </t>
  </si>
  <si>
    <t>Maxwell and Fabriol (2004), Verdon et al. (2013)</t>
  </si>
  <si>
    <t>Romania</t>
  </si>
  <si>
    <t>Tazlau</t>
  </si>
  <si>
    <t>Behm et al. (2014)</t>
  </si>
  <si>
    <t>Novo-Elkhovskoye, Volga-Ural</t>
  </si>
  <si>
    <t>Adjacent to Romashkino</t>
  </si>
  <si>
    <t>Adushkin et al. (2000), Suckale (2009)</t>
  </si>
  <si>
    <t>South Houston, Texas</t>
  </si>
  <si>
    <t>No magnitudes just subsidence and faulting discussed</t>
  </si>
  <si>
    <t>Kreitler (1976), Suckale (2009)</t>
  </si>
  <si>
    <t>Clinton, Texas</t>
  </si>
  <si>
    <t>MyKawa, Texas</t>
  </si>
  <si>
    <t>Blue Ridge, Texas</t>
  </si>
  <si>
    <t>Webster, Texas</t>
  </si>
  <si>
    <t>Goose Creek, Texas</t>
  </si>
  <si>
    <t>Venezuela</t>
  </si>
  <si>
    <t>Costa Oriental, Lake Maracaibo</t>
  </si>
  <si>
    <t>Murria (1997), Suckale (2009)</t>
  </si>
  <si>
    <t>Austin Chalk, Giddings Field, Texas</t>
  </si>
  <si>
    <t>Chalk</t>
  </si>
  <si>
    <t>Is the injection rate a mistake? 13 l/s?</t>
  </si>
  <si>
    <t>Phillips et al. (1998)</t>
  </si>
  <si>
    <t>Shengli, Shandong Province</t>
  </si>
  <si>
    <t>Suckale (2009)</t>
  </si>
  <si>
    <t>Denmark</t>
  </si>
  <si>
    <t>Dan</t>
  </si>
  <si>
    <t>South Eugene Island, Louisianna</t>
  </si>
  <si>
    <t>Meillon</t>
  </si>
  <si>
    <t>Vishund</t>
  </si>
  <si>
    <t>Suckale (2009), Wiprut and Zoback (2000)</t>
  </si>
  <si>
    <t>Valhall</t>
  </si>
  <si>
    <t>2300-2400</t>
  </si>
  <si>
    <t>Suckale (2009), Zoback and Zinke (2002)</t>
  </si>
  <si>
    <t>Gas Storage</t>
  </si>
  <si>
    <t>Norg</t>
  </si>
  <si>
    <t>Grijpskerk</t>
  </si>
  <si>
    <t>Yugoslavia</t>
  </si>
  <si>
    <t>Deep penetrating bombs</t>
  </si>
  <si>
    <t>Seismicity/faulting following deep penetrating bombing</t>
  </si>
  <si>
    <t>Kosovo</t>
  </si>
  <si>
    <t>Balassanian (2005)</t>
  </si>
  <si>
    <t>Iraq</t>
  </si>
  <si>
    <t>Baghdad</t>
  </si>
  <si>
    <t>Afghanistan</t>
  </si>
  <si>
    <t>Tora Bora</t>
  </si>
  <si>
    <t>Kirkuk</t>
  </si>
  <si>
    <t>Botswana</t>
  </si>
  <si>
    <t>Coal Bed Methane (CBM)</t>
  </si>
  <si>
    <t>Selemo and Lesedi pilot pods</t>
  </si>
  <si>
    <t>Barbee (2017)</t>
  </si>
  <si>
    <t>Fracking</t>
  </si>
  <si>
    <t>Fracking (injection)</t>
  </si>
  <si>
    <t>116 km WNW of Fort St. John (well 10 in Mahani et al., 2017)</t>
  </si>
  <si>
    <t>1300-4000</t>
  </si>
  <si>
    <t>Siltstone</t>
  </si>
  <si>
    <t>500-2500</t>
  </si>
  <si>
    <t>Northern Montney Earthquake, British Columbia</t>
  </si>
  <si>
    <t>Shale</t>
  </si>
  <si>
    <t>Septimus (Montney Trend)</t>
  </si>
  <si>
    <t>BCOGC (2014)</t>
  </si>
  <si>
    <t>2000-5000</t>
  </si>
  <si>
    <t>3000-4000</t>
  </si>
  <si>
    <t>2415-3446.1</t>
  </si>
  <si>
    <t>Horn River Basin</t>
  </si>
  <si>
    <t>2007 (February)</t>
  </si>
  <si>
    <t>2011 (July)</t>
  </si>
  <si>
    <t>38 events from NRCan array, injection values are averages from a selection of wells (Table 3)</t>
  </si>
  <si>
    <t>BCOGC (2012)</t>
  </si>
  <si>
    <t>Bao and Eaton (2016)</t>
  </si>
  <si>
    <t>Beg-Town (Montney Trend)</t>
  </si>
  <si>
    <t>163.3 (Avg)</t>
  </si>
  <si>
    <t>Caribou (Montney Trend)</t>
  </si>
  <si>
    <t>Eagleton 1-29, Oklahoma</t>
  </si>
  <si>
    <t>100 minutes</t>
  </si>
  <si>
    <t>3220-3530</t>
  </si>
  <si>
    <t>Darold et al. (2014)</t>
  </si>
  <si>
    <t>Cardston, Alberta (Ninastoko field)</t>
  </si>
  <si>
    <t>2011 (December)</t>
  </si>
  <si>
    <t>2012 (March)</t>
  </si>
  <si>
    <t>&gt;60</t>
  </si>
  <si>
    <t>3500-5000</t>
  </si>
  <si>
    <t>Schlutz et al. (2015a)</t>
  </si>
  <si>
    <t>Poland Township, Ohio</t>
  </si>
  <si>
    <t>2900-3200</t>
  </si>
  <si>
    <t>Fox Creek (Well Pad 5)</t>
  </si>
  <si>
    <t>Eola-Robberson field, Oklahoma</t>
  </si>
  <si>
    <t>1 day</t>
  </si>
  <si>
    <t>1600-3300</t>
  </si>
  <si>
    <t>2133-2996</t>
  </si>
  <si>
    <t>Picket Unit B Well 4-18</t>
  </si>
  <si>
    <t>Holland (2013)</t>
  </si>
  <si>
    <t>Doe-Dawson (Montney Trend)</t>
  </si>
  <si>
    <t>Fox Creek (Well Pad 4)</t>
  </si>
  <si>
    <t>Preese Hall</t>
  </si>
  <si>
    <t>&lt;1800</t>
  </si>
  <si>
    <t>2585-2633 (MDrkb) (based on casing deformation)</t>
  </si>
  <si>
    <t>2377-2728 (MDrkb)</t>
  </si>
  <si>
    <t>Approximate injection data from graphs</t>
  </si>
  <si>
    <t xml:space="preserve">de Pater and Baisch (2011), Green et al. (2012), Wilson et al. (2015) </t>
  </si>
  <si>
    <t>Altares (Montney Trend)</t>
  </si>
  <si>
    <t>251.7 (Avg)</t>
  </si>
  <si>
    <t>2800-3400</t>
  </si>
  <si>
    <t>Injection volume total for 3 wells, pressure and rate are max values</t>
  </si>
  <si>
    <t>Fracking (injection+production?)</t>
  </si>
  <si>
    <t>Bienville Parish, Louisiana</t>
  </si>
  <si>
    <t>2011 (May)</t>
  </si>
  <si>
    <t>2011 (August)</t>
  </si>
  <si>
    <t>3500-3660</t>
  </si>
  <si>
    <t>Hypocentre depth uncertain</t>
  </si>
  <si>
    <t>Walter et al. (2016)</t>
  </si>
  <si>
    <t>Cotton Valley, Texas</t>
  </si>
  <si>
    <t>Sandstone?</t>
  </si>
  <si>
    <t>2700-2850</t>
  </si>
  <si>
    <t>2756-2838</t>
  </si>
  <si>
    <t>Stage 2 data only</t>
  </si>
  <si>
    <t>Urbancic et al. (1999)</t>
  </si>
  <si>
    <t>Montney Trend</t>
  </si>
  <si>
    <t>Well C. Well location not known so generic Montney Formation coordinates used from Wikipedia</t>
  </si>
  <si>
    <t>Maxwell et al. (2011)</t>
  </si>
  <si>
    <t>Jonah field, Wyoming</t>
  </si>
  <si>
    <t>2751-3322</t>
  </si>
  <si>
    <t>EAST 3 stage 3</t>
  </si>
  <si>
    <t>Wolhart et al. (2006)</t>
  </si>
  <si>
    <t>Hughes County, Oklahoma</t>
  </si>
  <si>
    <t>2473-2744</t>
  </si>
  <si>
    <t>2522-2637</t>
  </si>
  <si>
    <t>Neuhaus and Miskimins (2012)</t>
  </si>
  <si>
    <t>Western Canada</t>
  </si>
  <si>
    <t>2870-2970</t>
  </si>
  <si>
    <t>2920-2940</t>
  </si>
  <si>
    <t>Stage 2 data only. Location of site unknown (foothills of Rockies)</t>
  </si>
  <si>
    <t>Maxwell et al. (2009)</t>
  </si>
  <si>
    <t>Mexico</t>
  </si>
  <si>
    <t>Geothermal</t>
  </si>
  <si>
    <t>Geothermal (extraction)</t>
  </si>
  <si>
    <t>Cerro Prieto (Imperial Valley)</t>
  </si>
  <si>
    <t>1979 (production increase)</t>
  </si>
  <si>
    <t>Volcanics</t>
  </si>
  <si>
    <t>Tectonically active area - seismic swarms and eqs&gt;6M</t>
  </si>
  <si>
    <t>&lt;-0.01</t>
  </si>
  <si>
    <t>250-350</t>
  </si>
  <si>
    <t>Rate is from figure 2 and for field scale</t>
  </si>
  <si>
    <t>Glowacka and Nava (1996)</t>
  </si>
  <si>
    <t>EGS (circulation)</t>
  </si>
  <si>
    <t>Salton Sea, California</t>
  </si>
  <si>
    <t>4734.156 (production), 3811.495 (injection)</t>
  </si>
  <si>
    <t>2867663471 (produced), 2341357797 (injected)</t>
  </si>
  <si>
    <t>&gt;320</t>
  </si>
  <si>
    <t>Brodsky and Lajoie (2013), http://www.conservation.ca.gov/dog/geothermal/manual/Pages/production.aspx</t>
  </si>
  <si>
    <t>The Geysers</t>
  </si>
  <si>
    <t>140/month ML&gt;1.2</t>
  </si>
  <si>
    <t>Metamorphics and Igneous</t>
  </si>
  <si>
    <t>0-4000</t>
  </si>
  <si>
    <t>California naturally active</t>
  </si>
  <si>
    <t>3723.509 (production), 2612.301 (injection)</t>
  </si>
  <si>
    <t>2804063541 (produced), 1271141319 (injected)</t>
  </si>
  <si>
    <t>240 (up to 350)</t>
  </si>
  <si>
    <t>Julian et al. (1996), Majer (2007), Majer and Peterson (2008), Nicholson and Wesson (1992), http://www.conservation.ca.gov/dog/geothermal/manual/Pages/production.aspx</t>
  </si>
  <si>
    <t>Los Humeros</t>
  </si>
  <si>
    <t>Md</t>
  </si>
  <si>
    <t>850-5000</t>
  </si>
  <si>
    <t>1450-3250</t>
  </si>
  <si>
    <t>25.8 (production), 36.7 (injection)</t>
  </si>
  <si>
    <t>300-330</t>
  </si>
  <si>
    <t>Production rate from figure 10 for well P1, injection rate from figure 9 for well I29</t>
  </si>
  <si>
    <t>Urban and Lermo (2013)</t>
  </si>
  <si>
    <t>El Salvador</t>
  </si>
  <si>
    <t>EGS (injection)</t>
  </si>
  <si>
    <t>2003 (July)</t>
  </si>
  <si>
    <t>2004 (January)</t>
  </si>
  <si>
    <t>Young volcanic</t>
  </si>
  <si>
    <t>El Salvador very active due to subduction and volcanoes</t>
  </si>
  <si>
    <t>Well TR8A, Field on volcano flank (last eruption 1878?), goethermal production started in 1992.</t>
  </si>
  <si>
    <t>Bommer et al. (2006), Majer et al. (2007)</t>
  </si>
  <si>
    <t>Australia</t>
  </si>
  <si>
    <t>Cooper Basin (Habanero 1)</t>
  </si>
  <si>
    <t>4000-4500</t>
  </si>
  <si>
    <t>3994-4254</t>
  </si>
  <si>
    <t>Monte Amiata</t>
  </si>
  <si>
    <t>Metamorphics</t>
  </si>
  <si>
    <t>&lt;8000</t>
  </si>
  <si>
    <t>2500-3000</t>
  </si>
  <si>
    <t>High levels of background seismicity</t>
  </si>
  <si>
    <t>300-350</t>
  </si>
  <si>
    <t>Evans et al. (2012)</t>
  </si>
  <si>
    <t>Switzerland</t>
  </si>
  <si>
    <t>Basel</t>
  </si>
  <si>
    <t>30/11/2007?</t>
  </si>
  <si>
    <t>&gt;10500</t>
  </si>
  <si>
    <t>4600-5000</t>
  </si>
  <si>
    <t>&gt;6.5M in 1356 destroyed the city</t>
  </si>
  <si>
    <t>Klose (2013), Majer et al. (2007), Terakawa et al. (2012), TNO (2014)</t>
  </si>
  <si>
    <t>St. Gallen</t>
  </si>
  <si>
    <t>ML 3.2 1987 2 km away</t>
  </si>
  <si>
    <t>New Zealand</t>
  </si>
  <si>
    <t>Geothermal (reinjection)</t>
  </si>
  <si>
    <t>Rotokawa</t>
  </si>
  <si>
    <t>2005 (deep injection begun), 2008 (deep injection zone changed)</t>
  </si>
  <si>
    <t>&gt;1500</t>
  </si>
  <si>
    <t>2012 (February)</t>
  </si>
  <si>
    <t>Volcanics (Andesite)</t>
  </si>
  <si>
    <t>1000-2500</t>
  </si>
  <si>
    <t>550 (production and injection)</t>
  </si>
  <si>
    <t>&gt;300</t>
  </si>
  <si>
    <t>Liquid dominated. Field scale rate.</t>
  </si>
  <si>
    <t>Sherburn et al. (2013)</t>
  </si>
  <si>
    <t>Larderello-Travale</t>
  </si>
  <si>
    <t>3000-5500</t>
  </si>
  <si>
    <t>Evans et al. (2012), Klose (2013)</t>
  </si>
  <si>
    <t>Mokai</t>
  </si>
  <si>
    <t>Sherburn et al. (2015)</t>
  </si>
  <si>
    <t>Cooper Basin (Habanero 4)</t>
  </si>
  <si>
    <t>29186, -1.6≤ML≤3</t>
  </si>
  <si>
    <t>Habanero 4 well</t>
  </si>
  <si>
    <t>Torre Alfina</t>
  </si>
  <si>
    <t>1977 (January and February)</t>
  </si>
  <si>
    <t>1400-3300</t>
  </si>
  <si>
    <t>140-150</t>
  </si>
  <si>
    <t>Iceland</t>
  </si>
  <si>
    <t>Reykjanes</t>
  </si>
  <si>
    <t>5 swarms of 40-80</t>
  </si>
  <si>
    <t>Divergent</t>
  </si>
  <si>
    <t>Ahuachapan</t>
  </si>
  <si>
    <t>1100-1400</t>
  </si>
  <si>
    <t>Klose (2013)</t>
  </si>
  <si>
    <t>Cooper Basin (Habanero 1 restimulation)</t>
  </si>
  <si>
    <t>2005 (September)</t>
  </si>
  <si>
    <t>16000, -1.2≤ML≤2.9</t>
  </si>
  <si>
    <t>Habanero 1 restimulation</t>
  </si>
  <si>
    <t>Latera</t>
  </si>
  <si>
    <t>1980 (March)</t>
  </si>
  <si>
    <t>600-2000</t>
  </si>
  <si>
    <t>200-230</t>
  </si>
  <si>
    <t>Soultz (GPK-3)</t>
  </si>
  <si>
    <t>&gt;400 above 1 M</t>
  </si>
  <si>
    <t>4000-5500</t>
  </si>
  <si>
    <t>4556-5000</t>
  </si>
  <si>
    <t>Well GPK-3</t>
  </si>
  <si>
    <t>Majer et al. (2007)</t>
  </si>
  <si>
    <t>EGS (stimulation)</t>
  </si>
  <si>
    <t>Coso</t>
  </si>
  <si>
    <t>&gt;20000 (1991-1995)</t>
  </si>
  <si>
    <t>2004 (August)</t>
  </si>
  <si>
    <t>Diorite, Granodiorite and Granite</t>
  </si>
  <si>
    <t>Highly active seismic area</t>
  </si>
  <si>
    <t>≤340</t>
  </si>
  <si>
    <t>Rate was 1400 kph (kilos per hour?)</t>
  </si>
  <si>
    <t>Breede et al. (2013), Feng and Lees (1998), Julian et al. (2009)</t>
  </si>
  <si>
    <t>Landau</t>
  </si>
  <si>
    <t>2008 (February)</t>
  </si>
  <si>
    <t>&gt;600, -0.5≤ML≤2.7 (joint with Insheim)</t>
  </si>
  <si>
    <t>2300-3300</t>
  </si>
  <si>
    <t>Granite, Sandstone and Carbonate</t>
  </si>
  <si>
    <t>Evans et al. (2012), Groos et al. (2013)</t>
  </si>
  <si>
    <t>Ngatamariki</t>
  </si>
  <si>
    <t>2013 (April)</t>
  </si>
  <si>
    <t>Well Paralana 2</t>
  </si>
  <si>
    <t>Sediments above basement</t>
  </si>
  <si>
    <t>3745-3845</t>
  </si>
  <si>
    <t>3639-3645</t>
  </si>
  <si>
    <t>Paralana 2 well</t>
  </si>
  <si>
    <t>Albaric et al. (2014)</t>
  </si>
  <si>
    <t>Kenya</t>
  </si>
  <si>
    <t>Olkaria</t>
  </si>
  <si>
    <t>1996 (May)</t>
  </si>
  <si>
    <t>1996 (mid-September)</t>
  </si>
  <si>
    <t>&gt;460</t>
  </si>
  <si>
    <t>2300-5000</t>
  </si>
  <si>
    <t>Simiyu and Keller (2000)</t>
  </si>
  <si>
    <t>Insheim</t>
  </si>
  <si>
    <t>2010 (April)</t>
  </si>
  <si>
    <t>&gt;600, -0.5≤ML≤2.7 (joint with Landau)</t>
  </si>
  <si>
    <t>Granite and Sandstone</t>
  </si>
  <si>
    <t>3600-3800</t>
  </si>
  <si>
    <t>Breede et al. (2013), Groos et al. (2013)</t>
  </si>
  <si>
    <t>Philippines</t>
  </si>
  <si>
    <t>Puhagan</t>
  </si>
  <si>
    <t>1983 (May)</t>
  </si>
  <si>
    <t>1982 (October)</t>
  </si>
  <si>
    <t>&gt;5000, 21/05/1983-1984(May)</t>
  </si>
  <si>
    <t>1983 (February)</t>
  </si>
  <si>
    <t>2500-4000</t>
  </si>
  <si>
    <t>450 (production), 320 (injection)</t>
  </si>
  <si>
    <t>Field scale fluid data</t>
  </si>
  <si>
    <t>Bromley et al. (1987), Davis and Frohlich (1993)</t>
  </si>
  <si>
    <t>Unterhaching</t>
  </si>
  <si>
    <t>2007 (October)</t>
  </si>
  <si>
    <t>2008 (July)</t>
  </si>
  <si>
    <t>2100-5100</t>
  </si>
  <si>
    <t>3350-3600</t>
  </si>
  <si>
    <t>120 (both)</t>
  </si>
  <si>
    <t>Basalt</t>
  </si>
  <si>
    <t>Soultz (GPK-2)</t>
  </si>
  <si>
    <t>4431-5084</t>
  </si>
  <si>
    <t>Well GPK-2</t>
  </si>
  <si>
    <t>Newberry</t>
  </si>
  <si>
    <t>174, -0≤MW≤2.39,within 1 km</t>
  </si>
  <si>
    <t>Breede et al. (2013), Cladouhos et al. (2013)</t>
  </si>
  <si>
    <t>Cesano</t>
  </si>
  <si>
    <t>Dispersed low level seismic activity 6000-12000 m</t>
  </si>
  <si>
    <t>Krafla</t>
  </si>
  <si>
    <t>2000-2100</t>
  </si>
  <si>
    <t>Japan</t>
  </si>
  <si>
    <t>Ogachi (OGC-1)</t>
  </si>
  <si>
    <t>Granodiorite</t>
  </si>
  <si>
    <t>800-1300</t>
  </si>
  <si>
    <t>990-1000</t>
  </si>
  <si>
    <t>Assuming a water density of 1000 kg m-3</t>
  </si>
  <si>
    <t>Kaieda et al. (2005), Kaieda et al. (2010), Kitano et al. (2000)</t>
  </si>
  <si>
    <t>Indonesia</t>
  </si>
  <si>
    <t>Lahendong</t>
  </si>
  <si>
    <t>44.4 (production), 20.8 (injection)</t>
  </si>
  <si>
    <t>Maximum magnitude is 2&lt;M&lt;3. Field scale fluid rates.</t>
  </si>
  <si>
    <t>Silitonga et al. (2005)</t>
  </si>
  <si>
    <t>Rosemanowes</t>
  </si>
  <si>
    <t>Younger et al. (2012), Zang et al. (2014)</t>
  </si>
  <si>
    <t>Los Azufres</t>
  </si>
  <si>
    <t>800-6000</t>
  </si>
  <si>
    <t>1.9 Md is alrgest selected event (may not be largest event)</t>
  </si>
  <si>
    <t>Urban and Lermo (2012)</t>
  </si>
  <si>
    <t>Bad Urach</t>
  </si>
  <si>
    <t>2002 (September)</t>
  </si>
  <si>
    <t>9 hours</t>
  </si>
  <si>
    <t>420, -0.6≤MW≤1.8</t>
  </si>
  <si>
    <t>Gneiss</t>
  </si>
  <si>
    <t>Desert Peak, Nevada</t>
  </si>
  <si>
    <t>Volcanics and metamorphics</t>
  </si>
  <si>
    <t>925-1771</t>
  </si>
  <si>
    <t>Transform/Intraplate</t>
  </si>
  <si>
    <t>179-196</t>
  </si>
  <si>
    <t>Baker et al. (2014), Breede et al. (2013)</t>
  </si>
  <si>
    <t>Cooper Basin (Jolokia 1)</t>
  </si>
  <si>
    <t>4300-4700</t>
  </si>
  <si>
    <t>4262-4852</t>
  </si>
  <si>
    <t>Well Jolokia 1</t>
  </si>
  <si>
    <t>Rittersshoffen, Alsace</t>
  </si>
  <si>
    <t>2013 (June)</t>
  </si>
  <si>
    <t>Mlv</t>
  </si>
  <si>
    <t>2000-4000</t>
  </si>
  <si>
    <t>Maurer et al. (2015)</t>
  </si>
  <si>
    <t>Paralana 2 (Diagnostic Fracture Injection Test)</t>
  </si>
  <si>
    <t>South Korea</t>
  </si>
  <si>
    <t>Granodiorite and Granitic Gneiss</t>
  </si>
  <si>
    <t>Fenton Hill, New Mexico</t>
  </si>
  <si>
    <t>1983 (December)</t>
  </si>
  <si>
    <t>&gt;11000</t>
  </si>
  <si>
    <t>3245-3275</t>
  </si>
  <si>
    <t>Phillips et al. (2002), Nicholson and Wesson (1992)</t>
  </si>
  <si>
    <t>GeneSys, Hannover</t>
  </si>
  <si>
    <t>2003 (September)</t>
  </si>
  <si>
    <t>2004 (April)</t>
  </si>
  <si>
    <t>3664-3926.5</t>
  </si>
  <si>
    <t>Orzol et al. (2005)</t>
  </si>
  <si>
    <t>Sweden</t>
  </si>
  <si>
    <t>Fjällbacka</t>
  </si>
  <si>
    <t>1986 (November)</t>
  </si>
  <si>
    <t>74, -1.3≤ML≤-0.2</t>
  </si>
  <si>
    <t>440-475</t>
  </si>
  <si>
    <t>Evans et al. (2012), Jupe et al. (1992)</t>
  </si>
  <si>
    <t>70, -1.9≤ML≤-1.1</t>
  </si>
  <si>
    <t>Sandstone and Volcanic</t>
  </si>
  <si>
    <t>Closest event a ML2.7 50 km away</t>
  </si>
  <si>
    <t>Breede et al. (2013), Evans et al. (2012), Zang et al. (2014)</t>
  </si>
  <si>
    <t>Svartsengi</t>
  </si>
  <si>
    <t>Hijiori (SKG-2 injection/stimulation)</t>
  </si>
  <si>
    <t>&gt;100</t>
  </si>
  <si>
    <t>1650-1900</t>
  </si>
  <si>
    <t>1788-1802</t>
  </si>
  <si>
    <t>Well SKG-2 stimulation</t>
  </si>
  <si>
    <t>Sasaki (1998)</t>
  </si>
  <si>
    <t>Hijiori (SkG-2 circulation)</t>
  </si>
  <si>
    <t>&gt;400</t>
  </si>
  <si>
    <t>1500-1800</t>
  </si>
  <si>
    <t>44500 (injected), 13000 (produced)</t>
  </si>
  <si>
    <t>Well SKG-2 injection and HDR-1 and HDR-2 producers. Maximum magnitude based on scale in figure 6.</t>
  </si>
  <si>
    <t>Baca, New Mexico</t>
  </si>
  <si>
    <t>1982 (May)</t>
  </si>
  <si>
    <t>Davis and Frohlich (1993)</t>
  </si>
  <si>
    <t>Brady, Nevada</t>
  </si>
  <si>
    <t>Davatzes et al. (2013)</t>
  </si>
  <si>
    <t>Raft River, Idaho</t>
  </si>
  <si>
    <t>http://esd1.lbl.gov/research/projects/induced_seismicity/egs/raft_river.html</t>
  </si>
  <si>
    <t>Turkey</t>
  </si>
  <si>
    <t>Salavatli, Aydin</t>
  </si>
  <si>
    <t>2010 (June)</t>
  </si>
  <si>
    <t>Kalkan et al. (2014)</t>
  </si>
  <si>
    <t>Wayang Windu</t>
  </si>
  <si>
    <t>Mulyadi (2010)</t>
  </si>
  <si>
    <t>Darajat</t>
  </si>
  <si>
    <t>1000-2000</t>
  </si>
  <si>
    <t>Pramono and Colombo (2005)</t>
  </si>
  <si>
    <t>Drilling, Stimulation and Production tests</t>
  </si>
  <si>
    <t>Tres Virgenes, LV-06</t>
  </si>
  <si>
    <t>Nepal</t>
  </si>
  <si>
    <t>Groundwater extraction</t>
  </si>
  <si>
    <t>Groundwater (extraction)</t>
  </si>
  <si>
    <t>Gorkha earthquake, Indo-Gangetic plains</t>
  </si>
  <si>
    <t>Kundu et al. (2015)</t>
  </si>
  <si>
    <t>Lorca</t>
  </si>
  <si>
    <t>1960s?</t>
  </si>
  <si>
    <t>González et al. (2012)</t>
  </si>
  <si>
    <t>Groundwater extraction/Water dam</t>
  </si>
  <si>
    <t>Jaen (Giribaile reservoir)</t>
  </si>
  <si>
    <t>2012 (October)</t>
  </si>
  <si>
    <t>0-6000</t>
  </si>
  <si>
    <t>0-800</t>
  </si>
  <si>
    <t>Many natural and anthropogenic factors at play</t>
  </si>
  <si>
    <t>Doblas et al. (2014)</t>
  </si>
  <si>
    <t>Brazil</t>
  </si>
  <si>
    <t>2003 (March)</t>
  </si>
  <si>
    <t>&gt;2000 since 2005 (March)</t>
  </si>
  <si>
    <t>2005 (March)</t>
  </si>
  <si>
    <t>Sandstone and Basalt</t>
  </si>
  <si>
    <t>400-800</t>
  </si>
  <si>
    <t>120-200</t>
  </si>
  <si>
    <t>Assumpção et al. (2010)</t>
  </si>
  <si>
    <t>San Joaquin Valley</t>
  </si>
  <si>
    <t>Annual stress variation due to seasons</t>
  </si>
  <si>
    <t>Amos et al. (2014)</t>
  </si>
  <si>
    <t>Mining</t>
  </si>
  <si>
    <t>Bachatsky, Kuzbass</t>
  </si>
  <si>
    <t>Coal</t>
  </si>
  <si>
    <t>Emanov et al. (2014)</t>
  </si>
  <si>
    <t>Mining (collapse/fluid-induced rockburst)</t>
  </si>
  <si>
    <t>Volkershausen (Ernst Thaelmann/Merkers mine)</t>
  </si>
  <si>
    <t>850-900</t>
  </si>
  <si>
    <t>Potash</t>
  </si>
  <si>
    <t>0.3-1.1</t>
  </si>
  <si>
    <t>3200 pillars collapsed</t>
  </si>
  <si>
    <t>Alvarez-Garcia et al. (2013), Bennett et al. (1995b), Klose (2007c), Klose (2013), McGarr et al. (2002)</t>
  </si>
  <si>
    <t>South Africa</t>
  </si>
  <si>
    <t>President Brand Mine, Welkom</t>
  </si>
  <si>
    <t>mb</t>
  </si>
  <si>
    <t>Gold</t>
  </si>
  <si>
    <t>Bennett et al. (1995a), Bennett et al. (1995b), Bowers (1997)</t>
  </si>
  <si>
    <t>Mining and Groundwater extraction</t>
  </si>
  <si>
    <t>Newcastle</t>
  </si>
  <si>
    <t>2 aftershocks</t>
  </si>
  <si>
    <t>10000-13000</t>
  </si>
  <si>
    <t>150-500</t>
  </si>
  <si>
    <t>Klose (2007b), Klose (2013)</t>
  </si>
  <si>
    <t>Ellalong</t>
  </si>
  <si>
    <t>Klose (2007c), Klose (2013)</t>
  </si>
  <si>
    <t>Klerksdorp (DRDGold's North West Operations)</t>
  </si>
  <si>
    <t>Durrheim (2010)</t>
  </si>
  <si>
    <t>Maitland</t>
  </si>
  <si>
    <t>18/06/1868</t>
  </si>
  <si>
    <t>Klose (2007c)</t>
  </si>
  <si>
    <t>Boolaroo</t>
  </si>
  <si>
    <t>Mining (collapse)</t>
  </si>
  <si>
    <t>Solvay mine, Wyoming</t>
  </si>
  <si>
    <t>Trona (evaporite)</t>
  </si>
  <si>
    <t>Bennett et al. (1995a), Bennett et al. (1995b)</t>
  </si>
  <si>
    <t>Welkom</t>
  </si>
  <si>
    <t>Durrheim (2010), Durrheim (2006a; 2006b)</t>
  </si>
  <si>
    <t>Mining (solution)</t>
  </si>
  <si>
    <t>Attica, New York</t>
  </si>
  <si>
    <t>1880s</t>
  </si>
  <si>
    <t>Heck and Bodle (1931), Nicholson (1992), Nicholoson and Wesson (1992)</t>
  </si>
  <si>
    <t>Sunna (Suenna)</t>
  </si>
  <si>
    <t>Mining (rock burst)</t>
  </si>
  <si>
    <t>Umbozero Mine</t>
  </si>
  <si>
    <t>Rare metal</t>
  </si>
  <si>
    <t>Lovchikov (2013)</t>
  </si>
  <si>
    <t>Heringen</t>
  </si>
  <si>
    <t>Dahm et al. (2015)</t>
  </si>
  <si>
    <t>Poland</t>
  </si>
  <si>
    <t>Lubin mine</t>
  </si>
  <si>
    <t>Copper</t>
  </si>
  <si>
    <t>Gibowicz et al. (1979), Klose (2007c)</t>
  </si>
  <si>
    <t>Kalgoorlie Super Pit</t>
  </si>
  <si>
    <t>0-570</t>
  </si>
  <si>
    <t>Gibson and Sandiford (2013)</t>
  </si>
  <si>
    <t>Mining (rockburst)</t>
  </si>
  <si>
    <t>Wright-Hargreaves mine, Ontario</t>
  </si>
  <si>
    <t>Hedley and Udd (1989)</t>
  </si>
  <si>
    <t>Hartebeesfontein</t>
  </si>
  <si>
    <t>Mining (or possibly reinjection)</t>
  </si>
  <si>
    <t>Mosaic Company, Yorkton, Saskatchewan</t>
  </si>
  <si>
    <t>Magnitude &lt;5</t>
  </si>
  <si>
    <t>Verdon et al. (2016)</t>
  </si>
  <si>
    <t xml:space="preserve">Changning, Sichuan </t>
  </si>
  <si>
    <t>1990 (August)</t>
  </si>
  <si>
    <t>Salt</t>
  </si>
  <si>
    <t>0-20000</t>
  </si>
  <si>
    <t>2800-3000</t>
  </si>
  <si>
    <t>90000 (50000 up to Mmax)</t>
  </si>
  <si>
    <t>Water loss during circulation is a form of injection</t>
  </si>
  <si>
    <t>Solikamsk, Upper Kama</t>
  </si>
  <si>
    <t>200-400</t>
  </si>
  <si>
    <t>Alvarez-Garcia et al. (2013)</t>
  </si>
  <si>
    <t>Carletonville</t>
  </si>
  <si>
    <t>Durrheim (2006a; 2006b)</t>
  </si>
  <si>
    <t>Free State Goldfield</t>
  </si>
  <si>
    <t>Saale (Halle) (Teutschental mine)</t>
  </si>
  <si>
    <t>Salt/Potash</t>
  </si>
  <si>
    <t>Alvarez-Garcia et al. (2013), Grünthal (2014), Teyssoneyre et al. (2002)</t>
  </si>
  <si>
    <t>Salt mine, Zigong, Sichuan</t>
  </si>
  <si>
    <t>Belchatow</t>
  </si>
  <si>
    <t>1000-5000</t>
  </si>
  <si>
    <t>Swarms in 1932 (February and March)</t>
  </si>
  <si>
    <t>Gibowicz et al. (1981), Wiejacz and Rudziński  (2010)</t>
  </si>
  <si>
    <t>Moss No. 2, Virginia</t>
  </si>
  <si>
    <t>Iannacchione and Zelanko (1995)</t>
  </si>
  <si>
    <t>SKRU-2, Ural Mountains</t>
  </si>
  <si>
    <t>Bennett et al. (1995a), Lovchikov (2013)</t>
  </si>
  <si>
    <t>Appin, Tower and West Cliff Collieries</t>
  </si>
  <si>
    <t>&lt;1000</t>
  </si>
  <si>
    <t>Clark (2009)</t>
  </si>
  <si>
    <t>Savuka, Carletonville</t>
  </si>
  <si>
    <t>ISSI catlogue in reference paper</t>
  </si>
  <si>
    <t>Belarus</t>
  </si>
  <si>
    <t>Soligorsk (Starobin deposit)</t>
  </si>
  <si>
    <t>1960s</t>
  </si>
  <si>
    <t>&gt;1000</t>
  </si>
  <si>
    <t>400-1000</t>
  </si>
  <si>
    <t>Paskaleva et al. (2006)</t>
  </si>
  <si>
    <t>Mining (extraction and abandonment)</t>
  </si>
  <si>
    <t>Cacoosing Valley (Sinking Springs), Pennsylvania</t>
  </si>
  <si>
    <t>1992 (December)</t>
  </si>
  <si>
    <t>1992 (May)</t>
  </si>
  <si>
    <t>67 (aftershocks)</t>
  </si>
  <si>
    <t>&lt;4500</t>
  </si>
  <si>
    <t>0-2500</t>
  </si>
  <si>
    <t>Seeber et al. (1998)</t>
  </si>
  <si>
    <t>Taiji mine, Beipiao, Liaoning</t>
  </si>
  <si>
    <t>1970 (May)</t>
  </si>
  <si>
    <t>Li et al. (2007)</t>
  </si>
  <si>
    <t>Chayuan mine, Shizhu, Sichuan</t>
  </si>
  <si>
    <t>1987 (July)</t>
  </si>
  <si>
    <t>Louguanshan #4 well, South Bureau, Sichuan</t>
  </si>
  <si>
    <t>Kurgazakskaya Mine</t>
  </si>
  <si>
    <t>Bauxite</t>
  </si>
  <si>
    <t>Willow Creek, Utah</t>
  </si>
  <si>
    <t>Arabasz et al. (2002)</t>
  </si>
  <si>
    <t>Weixi mine, Leshan, Sichuan</t>
  </si>
  <si>
    <t>1970 (September)</t>
  </si>
  <si>
    <t>Mentougou mine, Beijing, Beijing</t>
  </si>
  <si>
    <t>1947 (May)</t>
  </si>
  <si>
    <t>Rudna mine</t>
  </si>
  <si>
    <t>2236 &gt;0.9ML in 2012</t>
  </si>
  <si>
    <t>900-1200</t>
  </si>
  <si>
    <t>MW 4.2 relates to the collapse and rockfall following the weaker MW 3.6 thrust mechanism</t>
  </si>
  <si>
    <t>Lizurek et al. (2015), Rudziński et al. (2016)</t>
  </si>
  <si>
    <t>Kirovsky Mine, Khibiny Massif (Kola Peninsula)</t>
  </si>
  <si>
    <t>Apatite</t>
  </si>
  <si>
    <t>2500000000000, 794000000 (m3)</t>
  </si>
  <si>
    <t>Based on Apatite density of 3150 kg/m3</t>
  </si>
  <si>
    <t>Eremenko et al. (2009), Klose (2007b), Kremenetskaya and Trjapitsin (1995), Lovchikov (2013)</t>
  </si>
  <si>
    <t>Ruhr area</t>
  </si>
  <si>
    <t>Grünthal (2014)</t>
  </si>
  <si>
    <t>Huachu mine, Liuzhi, Guizhou</t>
  </si>
  <si>
    <t>Blinovo-Kamensky Mine</t>
  </si>
  <si>
    <t>Creighton, Ontario</t>
  </si>
  <si>
    <t>2008 (January)</t>
  </si>
  <si>
    <t>2008 (December)</t>
  </si>
  <si>
    <t>26176, -2.8&lt;MW&lt;0.9</t>
  </si>
  <si>
    <t>MN</t>
  </si>
  <si>
    <t>1828-2377</t>
  </si>
  <si>
    <t>Vallejos and McKinnon (2011)</t>
  </si>
  <si>
    <t>Western Deep Levels East</t>
  </si>
  <si>
    <t>3970?</t>
  </si>
  <si>
    <t>2500-3700</t>
  </si>
  <si>
    <t>Amidzic et al. (1999)</t>
  </si>
  <si>
    <t>Lynch mine, Kentucky</t>
  </si>
  <si>
    <t>Bennett et al. (1995a)</t>
  </si>
  <si>
    <t>Saar (Primsmulde), Saarland</t>
  </si>
  <si>
    <t>2006 (October)</t>
  </si>
  <si>
    <t>Fritschen (2010), Klose (2013)</t>
  </si>
  <si>
    <t>Lorraine</t>
  </si>
  <si>
    <t>Iron</t>
  </si>
  <si>
    <t>Buchanan No. 1, Virginia</t>
  </si>
  <si>
    <t>Kloof</t>
  </si>
  <si>
    <t>Milev and Spottiswoode (2002)</t>
  </si>
  <si>
    <t>Belle Plaine</t>
  </si>
  <si>
    <t>Magnitude &lt;4</t>
  </si>
  <si>
    <t>Mining (tunneling) and hydrologic changes</t>
  </si>
  <si>
    <t>Gran Sasso</t>
  </si>
  <si>
    <t>Bella et al. (1998)</t>
  </si>
  <si>
    <t>Deelkraal</t>
  </si>
  <si>
    <t>&gt;2000</t>
  </si>
  <si>
    <t>East Driefontain</t>
  </si>
  <si>
    <t>Crandall Canyon, Utah</t>
  </si>
  <si>
    <t>500-600</t>
  </si>
  <si>
    <t>300-670</t>
  </si>
  <si>
    <t>Pechmann et al. (2008)</t>
  </si>
  <si>
    <t>King #4, Utah</t>
  </si>
  <si>
    <t>Peissenberg</t>
  </si>
  <si>
    <t>Lynch No. 37, Kentucky</t>
  </si>
  <si>
    <t>Wacang/Shimacao/Chenjiapo mines, Yichang, Hubei</t>
  </si>
  <si>
    <t>Convergent/Intraplate</t>
  </si>
  <si>
    <t>Wulong mine, Fuxin, Liaoning</t>
  </si>
  <si>
    <t>1959 (January)</t>
  </si>
  <si>
    <t>Elandsrand</t>
  </si>
  <si>
    <t>Copper Cliff North, Ontario</t>
  </si>
  <si>
    <t>Nickel</t>
  </si>
  <si>
    <t>Kidd Creek, Ontario</t>
  </si>
  <si>
    <t>Copper and Zinc</t>
  </si>
  <si>
    <t>Pstrowski mine</t>
  </si>
  <si>
    <t>Magnitude based on figure 1 in Marcak and Mutke (2013)</t>
  </si>
  <si>
    <t>Fajklewicz and Jakiel (1989), Marcak and Mutke (2013)</t>
  </si>
  <si>
    <t>Bobrek mine</t>
  </si>
  <si>
    <t>700-1900</t>
  </si>
  <si>
    <t>Data for seam 503</t>
  </si>
  <si>
    <t>Marcak and Mutke (2013)</t>
  </si>
  <si>
    <t>Mechowice mine</t>
  </si>
  <si>
    <t>Based on figure 1 in Marcak and Mutke (2013)</t>
  </si>
  <si>
    <t>Szombierki mine</t>
  </si>
  <si>
    <t>CSA Mine, Ostrava-Karvina Coal Basin</t>
  </si>
  <si>
    <t>Saar/Lorraine</t>
  </si>
  <si>
    <t>Nanshan mine, Hegang, Heilongjiang</t>
  </si>
  <si>
    <t>1981 (March)</t>
  </si>
  <si>
    <t>Laohutai mine, Fushun, Liaoning</t>
  </si>
  <si>
    <t>1955 (January)</t>
  </si>
  <si>
    <t>Mponeng</t>
  </si>
  <si>
    <t>Leeudoorn</t>
  </si>
  <si>
    <t>Retsof, New York</t>
  </si>
  <si>
    <t>Alvarez-Garcia et al. (2013), Bennett et al. (1995a)</t>
  </si>
  <si>
    <t>Soldier Creek, Utah</t>
  </si>
  <si>
    <t>Mining (collapse and rockburst)</t>
  </si>
  <si>
    <t>Jim Walter Resources, Inc., No. 4, Alabama</t>
  </si>
  <si>
    <t>Iannacchione and Zelanko (1995), Long and Copeland (1989)</t>
  </si>
  <si>
    <t>Huaibaoshi mine, Zigui, Yichang, Hubei</t>
  </si>
  <si>
    <t>Taozhuang mine, Zaozhuang, Shandong</t>
  </si>
  <si>
    <t>1976 (January)</t>
  </si>
  <si>
    <t>Bingshuijing mine, Yingpan, Liuzhi, Guizhou</t>
  </si>
  <si>
    <t>1985 (January)</t>
  </si>
  <si>
    <t>Shunyuan mine, Zaozhuang, Shandong</t>
  </si>
  <si>
    <t>Early 21st C</t>
  </si>
  <si>
    <t>Gypsum</t>
  </si>
  <si>
    <t>Liu zhi mine, Yingpan, Liuzhi, Guizhou</t>
  </si>
  <si>
    <t>Li et al. (2007), Trippi et al. (2014)</t>
  </si>
  <si>
    <t>Tashtagol Mine</t>
  </si>
  <si>
    <t>Iron ore</t>
  </si>
  <si>
    <t>Karnasurt Mine</t>
  </si>
  <si>
    <t>Genesseo, New York</t>
  </si>
  <si>
    <t>Seeber and Armbruster (1994) (unpublished report/proposal to Akzo Salt Inc.) in Seeber et al. (2004)</t>
  </si>
  <si>
    <t>Cottonwood, Utah</t>
  </si>
  <si>
    <t>Olympia Dam</t>
  </si>
  <si>
    <t>Balfour et al. (2014)</t>
  </si>
  <si>
    <t>Saar (Dilsburg Ost), Saarland</t>
  </si>
  <si>
    <t>300 (up to per month)</t>
  </si>
  <si>
    <t>2000 (November)</t>
  </si>
  <si>
    <t>500-1100</t>
  </si>
  <si>
    <t>Fritschen (2010)</t>
  </si>
  <si>
    <t>Lucky Friday Mine, Idaho</t>
  </si>
  <si>
    <t>&gt;50 (M&gt;1)</t>
  </si>
  <si>
    <t>Silver, Lead, Zinc</t>
  </si>
  <si>
    <t>Hsiung et al. (1992)</t>
  </si>
  <si>
    <t>Mine 15-15bis</t>
  </si>
  <si>
    <t>Sunnyside #3, Utah</t>
  </si>
  <si>
    <t>Olga, West Virginia</t>
  </si>
  <si>
    <t>Xujiadong 711 mine, Chenzhou, Hunan</t>
  </si>
  <si>
    <t>Uranium</t>
  </si>
  <si>
    <t>San he jian mine, Xuzhou, Jiangsu</t>
  </si>
  <si>
    <t>1991 (May)</t>
  </si>
  <si>
    <t>Chengzi mine, Beijing, Beijing</t>
  </si>
  <si>
    <t>1961 (January)</t>
  </si>
  <si>
    <t>Mining (extraction and collapse)</t>
  </si>
  <si>
    <t>North Staffordshire (Stoke on Trent)</t>
  </si>
  <si>
    <t>1975 (January)</t>
  </si>
  <si>
    <t>1977 (August)</t>
  </si>
  <si>
    <t>Ten feet seam</t>
  </si>
  <si>
    <t>Westbrook et al. (1980)</t>
  </si>
  <si>
    <t>Trail Mountain, Utah</t>
  </si>
  <si>
    <t>Arabasz et al. (2002), Arabasz et al. (2005)</t>
  </si>
  <si>
    <t>Mining (tunneling)</t>
  </si>
  <si>
    <t>Saar (Primsmulde), Saarland (Roadway construction)</t>
  </si>
  <si>
    <t>2005 (May)</t>
  </si>
  <si>
    <t>Campbell mine, Ontario</t>
  </si>
  <si>
    <t>Wappingers Falls, New York</t>
  </si>
  <si>
    <t>1900s (early)</t>
  </si>
  <si>
    <t>&gt;100 (aftershocks)</t>
  </si>
  <si>
    <t>mbn</t>
  </si>
  <si>
    <t>0-1500</t>
  </si>
  <si>
    <t>0-50</t>
  </si>
  <si>
    <t>25000000, 70000000000</t>
  </si>
  <si>
    <t>m3, kg</t>
  </si>
  <si>
    <t>Klose (2013), McGarr et al. (2002), Pomeroy et al. (1976)</t>
  </si>
  <si>
    <t>Huating mine, Pingliang, Gansu</t>
  </si>
  <si>
    <t>Garson, Ontario</t>
  </si>
  <si>
    <t>Centrum mine</t>
  </si>
  <si>
    <t>Cane (Kane) Creek Mine, Utah</t>
  </si>
  <si>
    <t>Wong and Humphrey (1989), Wong et al. (1996)</t>
  </si>
  <si>
    <t>Niumasi mine, Shaoyang, Hunan</t>
  </si>
  <si>
    <t>Mine 14-14bis</t>
  </si>
  <si>
    <t>Nottinghamshire</t>
  </si>
  <si>
    <t>Redmayne (1988)</t>
  </si>
  <si>
    <t>Star Point #2, Utah</t>
  </si>
  <si>
    <t>Chouhan (1992)</t>
  </si>
  <si>
    <t>S-Harz</t>
  </si>
  <si>
    <t>Bulgaria</t>
  </si>
  <si>
    <t>Provadia</t>
  </si>
  <si>
    <t>95 within first 3 months</t>
  </si>
  <si>
    <t>Knoll et al. (1996)</t>
  </si>
  <si>
    <t>Qixingjiezhen mine, Lianyuan, Hunan</t>
  </si>
  <si>
    <t>1990s</t>
  </si>
  <si>
    <t>Yueliangtian mine, Panjiang, Guizhou</t>
  </si>
  <si>
    <t>1991 (December)</t>
  </si>
  <si>
    <t>Xifeng Nan shan mine, Lindong, Guizhou</t>
  </si>
  <si>
    <t>1991 (April)</t>
  </si>
  <si>
    <t>Shanjiaocun mine, Panjiang, Guizhou</t>
  </si>
  <si>
    <t>Macassa, Ontario</t>
  </si>
  <si>
    <t>2004  (December)</t>
  </si>
  <si>
    <t>2007 (May)</t>
  </si>
  <si>
    <t>10351, -1.7&lt;MW&lt;0.7</t>
  </si>
  <si>
    <t>India</t>
  </si>
  <si>
    <t>Mining (abandonment)</t>
  </si>
  <si>
    <t>Champion Reef, Kolar Gold field</t>
  </si>
  <si>
    <t>1940s (early)</t>
  </si>
  <si>
    <t>Shivakumar et al. (1996)</t>
  </si>
  <si>
    <t>Deer Creek, Utah</t>
  </si>
  <si>
    <t>Castle Gate #3, Utah</t>
  </si>
  <si>
    <t>Skyline #3, Utah</t>
  </si>
  <si>
    <t>Mining (abandonment and flooding)</t>
  </si>
  <si>
    <t>Mineville, New York</t>
  </si>
  <si>
    <t>Mc</t>
  </si>
  <si>
    <t>Armbruster (1990) (unpublished data) in Seeber et al. (2004)</t>
  </si>
  <si>
    <t>Cory Mine, Saskatchewan</t>
  </si>
  <si>
    <t>600-1000</t>
  </si>
  <si>
    <t>Gendzwill et al. (1982)</t>
  </si>
  <si>
    <t>Polkowice mine</t>
  </si>
  <si>
    <t>Gibowicz (1998)</t>
  </si>
  <si>
    <t>Quirke mine, Ontario</t>
  </si>
  <si>
    <t>VP No. 3, Virginia</t>
  </si>
  <si>
    <t>Xindong mine, Shaoyang, Hunan</t>
  </si>
  <si>
    <t>1982 (February)</t>
  </si>
  <si>
    <t>Fangshan mine, Beijing, Beijing</t>
  </si>
  <si>
    <t>1958 (December)</t>
  </si>
  <si>
    <t>Cleveland, Ohio</t>
  </si>
  <si>
    <t>Galena mine, Idaho</t>
  </si>
  <si>
    <t>Silver</t>
  </si>
  <si>
    <t>1000-1700</t>
  </si>
  <si>
    <t>Max magnitude is from 3-3.5 ML</t>
  </si>
  <si>
    <t>Swanson (1992)</t>
  </si>
  <si>
    <t>Dillsburg, Pennsylvania</t>
  </si>
  <si>
    <t>200-1000</t>
  </si>
  <si>
    <t>Mining related cannot be ruled out</t>
  </si>
  <si>
    <t>Kim et al. (2009)</t>
  </si>
  <si>
    <t>En kou mine, Lowde, Hunan</t>
  </si>
  <si>
    <t>Huayazi mine, Zigui, Yichang, Hubei</t>
  </si>
  <si>
    <t>1973 (March)</t>
  </si>
  <si>
    <t>Niwan mine, Xiangtan, Hunan</t>
  </si>
  <si>
    <t>2003 (January)</t>
  </si>
  <si>
    <t>Benxi Caitun mine, Shenyang, Liaoning</t>
  </si>
  <si>
    <t>2004 (March)</t>
  </si>
  <si>
    <t>1933 (January)</t>
  </si>
  <si>
    <t>Da he bian mine, Shiucheng, Guizhou</t>
  </si>
  <si>
    <t>1985 (July)</t>
  </si>
  <si>
    <t>Mei tan ba mine, Xifenglun, Hunan</t>
  </si>
  <si>
    <t>Midlothian</t>
  </si>
  <si>
    <t>&lt;1400</t>
  </si>
  <si>
    <t>Bilston Glen mine</t>
  </si>
  <si>
    <t>Turbitt (1988)</t>
  </si>
  <si>
    <t>Baidong mine, Datong, Shanxi</t>
  </si>
  <si>
    <t>1983 (September)</t>
  </si>
  <si>
    <t>Sijiaotian mine, Yingpan, Liuzhi, Guizhou</t>
  </si>
  <si>
    <t>Dizong mine, Yingpan, Liuzhi, Guizhou</t>
  </si>
  <si>
    <t>Dayong mine, Yingpan, Liuzhi, Guizhou</t>
  </si>
  <si>
    <t>Dahuatang mine, Shaoyang, Hunan</t>
  </si>
  <si>
    <t>Strathcona, Ontario</t>
  </si>
  <si>
    <t>1988 (June)</t>
  </si>
  <si>
    <t>mN</t>
  </si>
  <si>
    <t>640-825</t>
  </si>
  <si>
    <t>Trifu et al. (1995)</t>
  </si>
  <si>
    <t>Qingshan mine, Lianyuan, Hunan</t>
  </si>
  <si>
    <t>Pyrite</t>
  </si>
  <si>
    <t>Zingruvan</t>
  </si>
  <si>
    <t>Zinc</t>
  </si>
  <si>
    <t>0-965</t>
  </si>
  <si>
    <t>Nuannin et al. (2005)</t>
  </si>
  <si>
    <t>Longfeng mine, Fushun, Liaoning</t>
  </si>
  <si>
    <t>Doulishan mine, Lowde, Hunan</t>
  </si>
  <si>
    <t>Yan guan mine, Zigui, Yichang, Hubei</t>
  </si>
  <si>
    <t>Gardanne</t>
  </si>
  <si>
    <t>2005 (November)</t>
  </si>
  <si>
    <t>Earthquakes &gt;2.5</t>
  </si>
  <si>
    <t>Matrullo et al. (2015)</t>
  </si>
  <si>
    <t>Zinc and Lead ore</t>
  </si>
  <si>
    <t>80-254</t>
  </si>
  <si>
    <t>Collapse lead to fault reactivation</t>
  </si>
  <si>
    <t>MFS Faido (Gotthard basetunnel)</t>
  </si>
  <si>
    <t>2005 (October)</t>
  </si>
  <si>
    <t>2007 (August)</t>
  </si>
  <si>
    <t>Husen et al. (2012)</t>
  </si>
  <si>
    <t>Korea</t>
  </si>
  <si>
    <t>Dogye</t>
  </si>
  <si>
    <t>2009 (May)</t>
  </si>
  <si>
    <t>2014 (March)</t>
  </si>
  <si>
    <t>Son et al. (2015)</t>
  </si>
  <si>
    <t>Fraser, Ontario</t>
  </si>
  <si>
    <t>Gangdong mine, Shuangyashan, Heilongjiang</t>
  </si>
  <si>
    <t>1974 (January)</t>
  </si>
  <si>
    <t>Lompoc diatomite mine, California</t>
  </si>
  <si>
    <t>210 m long reverse fault scarp on mine floor</t>
  </si>
  <si>
    <t>McGarr et al. (2002), Sylvester and Heinemann (1996)</t>
  </si>
  <si>
    <t>Florida, New York</t>
  </si>
  <si>
    <t>Seeber et al. (2004)</t>
  </si>
  <si>
    <t>Dannemora</t>
  </si>
  <si>
    <t>Holmgren (2015)</t>
  </si>
  <si>
    <t>Wujek mine</t>
  </si>
  <si>
    <t>560-740</t>
  </si>
  <si>
    <t>Ziemowit mine</t>
  </si>
  <si>
    <t>260-620</t>
  </si>
  <si>
    <t>TauTona, Carletonville</t>
  </si>
  <si>
    <t>Heesakkers et al. (2005)</t>
  </si>
  <si>
    <t>Qiao tou he mine, Lowde, Hunan</t>
  </si>
  <si>
    <t>Kaiyang mine, Jinzhong, Kaiyang, Guizhou</t>
  </si>
  <si>
    <t>1990 (January)</t>
  </si>
  <si>
    <t>Phosphorus</t>
  </si>
  <si>
    <t>Craig, Ontario</t>
  </si>
  <si>
    <t>Rotherham (Yorkshire)</t>
  </si>
  <si>
    <t>Wilson et al. (2015)</t>
  </si>
  <si>
    <t>Bargoed Mid Glamorgan (South Wales)</t>
  </si>
  <si>
    <t>Jinhuagong mine, Datong, Shanxi</t>
  </si>
  <si>
    <t>1972 (March)</t>
  </si>
  <si>
    <t>Mining (hydraulic extraction rockburst)</t>
  </si>
  <si>
    <t>Sunagawa mine</t>
  </si>
  <si>
    <t>Sato et al. (1986) Sato and Fujii (1989)</t>
  </si>
  <si>
    <t>Buxton (Derbyshire)</t>
  </si>
  <si>
    <t>Mayrau mine</t>
  </si>
  <si>
    <t>Číž and Růžek (1997)</t>
  </si>
  <si>
    <t>Shuikoushan mine, Hengnan, Hunan</t>
  </si>
  <si>
    <t>Lead and Zinc</t>
  </si>
  <si>
    <t>Sunderland (Durham and Northumberland)</t>
  </si>
  <si>
    <t>Bolton (Lancashire)</t>
  </si>
  <si>
    <t>Shi xia jiang mine, Shaoyang, Hunan</t>
  </si>
  <si>
    <t>Finland</t>
  </si>
  <si>
    <t>Pyhäsalmi</t>
  </si>
  <si>
    <t>Zinc and Copper</t>
  </si>
  <si>
    <t>1000-1500</t>
  </si>
  <si>
    <t>Oye and Roth (2005)</t>
  </si>
  <si>
    <t>Beatrice, Virginia</t>
  </si>
  <si>
    <t>Dale, New York</t>
  </si>
  <si>
    <t>Nicholson (1992), Nicholoson and Wesson (1992)</t>
  </si>
  <si>
    <t>Mining (rock fracture)</t>
  </si>
  <si>
    <t>Moonee Colliery</t>
  </si>
  <si>
    <t>90-170</t>
  </si>
  <si>
    <t>Springfield Pike Quarry, Pennsylvania</t>
  </si>
  <si>
    <t xml:space="preserve">Arkema-Vauvert </t>
  </si>
  <si>
    <t>&gt;125000</t>
  </si>
  <si>
    <t>1900-3000</t>
  </si>
  <si>
    <t>Godano et al. (2010)</t>
  </si>
  <si>
    <t>Shaft excavation</t>
  </si>
  <si>
    <t>Underground Research Laboratory, Manitoba</t>
  </si>
  <si>
    <t>324-443</t>
  </si>
  <si>
    <t>Gibowicz et al. (1991), McGarr et al. (2002)</t>
  </si>
  <si>
    <t>Brunswick No. 12 mine</t>
  </si>
  <si>
    <t>Alcott et al. (1998)</t>
  </si>
  <si>
    <t>Cadia</t>
  </si>
  <si>
    <t>Queenstown, Tasmania</t>
  </si>
  <si>
    <t>Chinakuri Colliery</t>
  </si>
  <si>
    <t>600-900</t>
  </si>
  <si>
    <t>Chouhan (1986)</t>
  </si>
  <si>
    <t>Ophirton</t>
  </si>
  <si>
    <t>Kazakhstan</t>
  </si>
  <si>
    <t>Gluboky Mine, Streltsovsk</t>
  </si>
  <si>
    <t>Gilyarov et al. (2014)</t>
  </si>
  <si>
    <t>Denison mine, Ontario</t>
  </si>
  <si>
    <t>Miike mine</t>
  </si>
  <si>
    <t>Kaneko et al. (1989)</t>
  </si>
  <si>
    <t>Wilkes-Barre, Pennsylvania</t>
  </si>
  <si>
    <t>1954 (February)</t>
  </si>
  <si>
    <t>Mount Charlotte Mine</t>
  </si>
  <si>
    <t>1962 (large scale undergorund mining)</t>
  </si>
  <si>
    <t>0-950</t>
  </si>
  <si>
    <t>Lee et al. (2006)</t>
  </si>
  <si>
    <t>Fuli mine, Hegang, Heilongjiang</t>
  </si>
  <si>
    <t>Didao mine, Jixi, Heilongjiang</t>
  </si>
  <si>
    <t>Tiechang mine, Tonghua, Jilin</t>
  </si>
  <si>
    <t>Hongtoushan mine, Fushun, Liaoning</t>
  </si>
  <si>
    <t>Gaode mine, Fuxin, Liaoning</t>
  </si>
  <si>
    <t>1987 (January)</t>
  </si>
  <si>
    <t>Dongliang mine, Fuxin, Liaoning</t>
  </si>
  <si>
    <t>Guanshan mine, Beipiao, Liaoning</t>
  </si>
  <si>
    <t>Datai mine, Beijing, Beijing</t>
  </si>
  <si>
    <t>Tongjialiang mine, Datong, Shanxi</t>
  </si>
  <si>
    <t>Meiyukou mine, Datong, Shanxi</t>
  </si>
  <si>
    <t>1972 (January)</t>
  </si>
  <si>
    <t>Yongdingzhuang mine, Datong, Shanxi</t>
  </si>
  <si>
    <t>1962 (June)</t>
  </si>
  <si>
    <t>Bayi mine, Zaozhuang, Shandong</t>
  </si>
  <si>
    <t>Chaili mine, Zaozhuang, Shandong</t>
  </si>
  <si>
    <t>Wumei mine, Hebi, Henan</t>
  </si>
  <si>
    <t>Shier (Shi'er kuang?) mine, Pingdingshan, Henan</t>
  </si>
  <si>
    <t>Quantai mine, Xuzhou, Jiangsu</t>
  </si>
  <si>
    <t>1991 (July)</t>
  </si>
  <si>
    <t>Qishan mine, Xuzhou, Jiangsu</t>
  </si>
  <si>
    <t>1997 (May)</t>
  </si>
  <si>
    <t>Zhangxiaolou mine, Xuzhou, Jiangsu</t>
  </si>
  <si>
    <t>1994 (December)</t>
  </si>
  <si>
    <t>Zhangji mine, Xuzhou, Jiangsu</t>
  </si>
  <si>
    <t>1994 (August)</t>
  </si>
  <si>
    <t>Leigu mine, Mianyang Beichuan, Sichuan</t>
  </si>
  <si>
    <t>Tianchi mine, Mianzhu, Sichuan</t>
  </si>
  <si>
    <t>Yanshitai mine, Wansheng district, Nantong, Chongqing</t>
  </si>
  <si>
    <t>1979 (August)</t>
  </si>
  <si>
    <t>Bajing mine, Gaoan, Jiangxi</t>
  </si>
  <si>
    <t>Tungsten ore mine, Jiangxi</t>
  </si>
  <si>
    <t>Tungsten ore</t>
  </si>
  <si>
    <t>Manganese mine, Zunyi, Guizhou</t>
  </si>
  <si>
    <t>Manganese</t>
  </si>
  <si>
    <t>South manganese mine, Huayuan, Hunan</t>
  </si>
  <si>
    <t>1995 (May)</t>
  </si>
  <si>
    <t>Manganese mine, Taojiang, Hunan</t>
  </si>
  <si>
    <t>Phosphorus mine, Yichang, Hubei</t>
  </si>
  <si>
    <t>Yangmuxi mine, Changyang, Yichang, Hubei</t>
  </si>
  <si>
    <t>Songyi mine, Yichang, Hubei</t>
  </si>
  <si>
    <t>Gaofeng mine, Dachangjingtian, Guangxi</t>
  </si>
  <si>
    <t>1993 (March)</t>
  </si>
  <si>
    <t>Metalliferous</t>
  </si>
  <si>
    <t>Tongkeng mine, Dachangjingtian, Guangxi</t>
  </si>
  <si>
    <t>Manganese mine, Dounan, Yunnan</t>
  </si>
  <si>
    <t>Manganese mine, Heqing, Yunnan</t>
  </si>
  <si>
    <t>Dongguashan (Shizishan copper mine), Tongling, Hunan</t>
  </si>
  <si>
    <t>Zhenxing mine, Hegang, Heilongjiang</t>
  </si>
  <si>
    <t>1998 (June)</t>
  </si>
  <si>
    <t>Yingcheng mine, Shulang, Jilin</t>
  </si>
  <si>
    <t>1962 (January)</t>
  </si>
  <si>
    <t>Xian mine, Liaoyuan, Jilin</t>
  </si>
  <si>
    <t>1954 (January)</t>
  </si>
  <si>
    <t>1972 (September)</t>
  </si>
  <si>
    <t>Binggou mine, Jianchang county, Liaoning</t>
  </si>
  <si>
    <t>Before 1980</t>
  </si>
  <si>
    <t>1970 (January)</t>
  </si>
  <si>
    <t>Muchengjian mine, Beijing, Beijing</t>
  </si>
  <si>
    <t>1964 (June)</t>
  </si>
  <si>
    <t>Xin zhou yao mine, Datong, Shanxi</t>
  </si>
  <si>
    <t>1981 (January)</t>
  </si>
  <si>
    <t>Huafeng mine, Xinwen, Shandong</t>
  </si>
  <si>
    <t>1991 (January)</t>
  </si>
  <si>
    <t>1994 (May)</t>
  </si>
  <si>
    <t>1990 (March)</t>
  </si>
  <si>
    <t>Pan xi mine, Xinwen, Shandong</t>
  </si>
  <si>
    <t>2001 (June)</t>
  </si>
  <si>
    <t>#2 mine, Weishanhu, Shandong</t>
  </si>
  <si>
    <t>Qianqiu mine, Yima, Henan</t>
  </si>
  <si>
    <t>1988 (January)</t>
  </si>
  <si>
    <t>Yaoqiao mine, Datun, Jiangsu</t>
  </si>
  <si>
    <t>1993 (April)</t>
  </si>
  <si>
    <t>Kong zhuang mine, Datun, Jiangsu</t>
  </si>
  <si>
    <t>Wuyi mine, Shanxi</t>
  </si>
  <si>
    <t>1980 (December)</t>
  </si>
  <si>
    <t>Nantong mine, Nantong, Chongqing</t>
  </si>
  <si>
    <t>Hua gu shan mine, Xinyu, Jiangxi</t>
  </si>
  <si>
    <t>1984 (September)</t>
  </si>
  <si>
    <t>Fengdouyan, Jiupanshan, Qishuping and Beitou mines, Jiupanshan, Yichang, Hubei</t>
  </si>
  <si>
    <t>Berezniki-1 Mine</t>
  </si>
  <si>
    <t>10000s</t>
  </si>
  <si>
    <t>150-300</t>
  </si>
  <si>
    <t>140-420</t>
  </si>
  <si>
    <t>Malovichko et al. (2009)</t>
  </si>
  <si>
    <t>Southern Colliery, German Creek</t>
  </si>
  <si>
    <t>McKavanagh et al. (1995)</t>
  </si>
  <si>
    <t>Chile</t>
  </si>
  <si>
    <t>El Teniente</t>
  </si>
  <si>
    <t>1992 (March)</t>
  </si>
  <si>
    <t>Rojas et al. (2000), Tang et al. (2010), Windsor et al. (2006)</t>
  </si>
  <si>
    <t>Horonai</t>
  </si>
  <si>
    <t>835-1175</t>
  </si>
  <si>
    <t>985-1125</t>
  </si>
  <si>
    <t>Depth of seismicity is approximate based on figures</t>
  </si>
  <si>
    <t>Sato and Fujii (1988)</t>
  </si>
  <si>
    <t>Mining (tunneling rock burst)</t>
  </si>
  <si>
    <t>Road tunnel</t>
  </si>
  <si>
    <t>Tang et al. (2010)</t>
  </si>
  <si>
    <t>Head race tunnel</t>
  </si>
  <si>
    <t>Switzerland/Italy</t>
  </si>
  <si>
    <t>Simplon Tunnel</t>
  </si>
  <si>
    <t>Shimizu Tunnel</t>
  </si>
  <si>
    <t>Kanetsu (Kan-Etsu) Tunnel</t>
  </si>
  <si>
    <t>Forsmark Nuclear Plant (Hydraulic tunnels construction)</t>
  </si>
  <si>
    <t>Ritsem Traffic Tunnel</t>
  </si>
  <si>
    <t>Mylonite</t>
  </si>
  <si>
    <t>Mishraq</t>
  </si>
  <si>
    <t>Sulfur</t>
  </si>
  <si>
    <t>80-190</t>
  </si>
  <si>
    <t>Terashima (1981)</t>
  </si>
  <si>
    <t>Tianshengqiao II Hydropower Station (Head race tunnel construction)</t>
  </si>
  <si>
    <t>&lt;10</t>
  </si>
  <si>
    <t>120-600</t>
  </si>
  <si>
    <t>Yuzixi I Hydropower Station (Head race tunnel construction)</t>
  </si>
  <si>
    <t>&gt;10</t>
  </si>
  <si>
    <t>250-600</t>
  </si>
  <si>
    <t>Granodiorite and diorite</t>
  </si>
  <si>
    <t>250-260</t>
  </si>
  <si>
    <t>Erlangshan Tunnel (Sichuan-Tibet Highway)</t>
  </si>
  <si>
    <t>&gt;200</t>
  </si>
  <si>
    <t>270-570</t>
  </si>
  <si>
    <t>Mudstone, Marl and Quartzite</t>
  </si>
  <si>
    <t>0-770</t>
  </si>
  <si>
    <t>Qinling Railway Tunnel</t>
  </si>
  <si>
    <t>&gt;900</t>
  </si>
  <si>
    <t>9-100</t>
  </si>
  <si>
    <t>Granite and Gneiss</t>
  </si>
  <si>
    <t>0-1600</t>
  </si>
  <si>
    <t>Cangling Tunnel (Taizhou-Jiyun Highway)</t>
  </si>
  <si>
    <t>Tuff</t>
  </si>
  <si>
    <t>0-768</t>
  </si>
  <si>
    <t>Pubugou Hydropower Station</t>
  </si>
  <si>
    <t>0-2375</t>
  </si>
  <si>
    <t>Jinping II Hydropower Station (Auxiliary tunnel)</t>
  </si>
  <si>
    <t>Marble</t>
  </si>
  <si>
    <t>860-2375</t>
  </si>
  <si>
    <t>Lujialiang Tunnel (Chongqing-Yichang Highway)</t>
  </si>
  <si>
    <t>Dongguashan (Shizishan copper mine), Tongling, Hunan (Roadway construction)</t>
  </si>
  <si>
    <t>1999 (March)</t>
  </si>
  <si>
    <t>790-850</t>
  </si>
  <si>
    <t>680-1000</t>
  </si>
  <si>
    <t>Malmberget</t>
  </si>
  <si>
    <t>1888 (large scale production)</t>
  </si>
  <si>
    <t>2005 (sensors installed)</t>
  </si>
  <si>
    <t>0-850</t>
  </si>
  <si>
    <t>Wettainen and Martinsson (2014)</t>
  </si>
  <si>
    <t>Nuclear explosions</t>
  </si>
  <si>
    <t>Seismicity/faulting following nuclear detonation</t>
  </si>
  <si>
    <t>Cannikin</t>
  </si>
  <si>
    <t>600-7500</t>
  </si>
  <si>
    <t>Engdahl (1972)</t>
  </si>
  <si>
    <t>Novaya Zemlya site</t>
  </si>
  <si>
    <t>Mt class explosion</t>
  </si>
  <si>
    <t>Adushkin and Spivak (2015)</t>
  </si>
  <si>
    <t>Milrow</t>
  </si>
  <si>
    <t>1200-2000</t>
  </si>
  <si>
    <t>Benham, Nevada</t>
  </si>
  <si>
    <t>1150 kt</t>
  </si>
  <si>
    <t>Hamilton et al. (1972), http://nuclearweaponarchive.org/Usa/Tests/Nevada.html</t>
  </si>
  <si>
    <t>North Korea</t>
  </si>
  <si>
    <t>Jorum, Nevada</t>
  </si>
  <si>
    <t>1000 kt, at least ML3</t>
  </si>
  <si>
    <t>Purse, Nevada</t>
  </si>
  <si>
    <t>20-200 kt, at least ML2</t>
  </si>
  <si>
    <t>Handley, Nevada</t>
  </si>
  <si>
    <t>1000 kt, at least ML2</t>
  </si>
  <si>
    <t>Faultless</t>
  </si>
  <si>
    <t>1000 kt</t>
  </si>
  <si>
    <t>Boucher et al. (1969)</t>
  </si>
  <si>
    <t>Hard Hat, Nevada</t>
  </si>
  <si>
    <t>5.7 kt Increased seismic activity (see table 1)</t>
  </si>
  <si>
    <t>Brune and Pomeroy (1963), Hamilton et al. (1972), http://nuclearweaponarchive.org/Usa/Tests/Nevada.html</t>
  </si>
  <si>
    <t>Rex, Nevada</t>
  </si>
  <si>
    <t>19 kt, Increased seismic activity (see table 1)</t>
  </si>
  <si>
    <t>Halfbeak, Nevada</t>
  </si>
  <si>
    <t>365 kt, Increased seismic activity (see table 1)</t>
  </si>
  <si>
    <t>Greeley, Nevada</t>
  </si>
  <si>
    <t>870 kt, Increased seismic activity (see table 1)</t>
  </si>
  <si>
    <t>Bourbon, Nevada</t>
  </si>
  <si>
    <t>20-200 kt, Increased seismic activity (see table 1)</t>
  </si>
  <si>
    <t>Buff, Nevada</t>
  </si>
  <si>
    <t>Charcoal, Nevada</t>
  </si>
  <si>
    <t>Chartreuse</t>
  </si>
  <si>
    <t>73 kt, Increased seismic activity (see table 1)</t>
  </si>
  <si>
    <t>Nash, Nevada</t>
  </si>
  <si>
    <t>Dumont, Nevada</t>
  </si>
  <si>
    <t>Tan, Nevada</t>
  </si>
  <si>
    <t>Boxcar, Nevada</t>
  </si>
  <si>
    <t>1.3 kt, Faulting</t>
  </si>
  <si>
    <t>McKeown and Dickey (1969), http://nuclearweaponarchive.org/Usa/Tests/Nevada.html</t>
  </si>
  <si>
    <t>Duryea, Nevada</t>
  </si>
  <si>
    <t>70 kt, Faulting</t>
  </si>
  <si>
    <t>Scotch, Nevada</t>
  </si>
  <si>
    <t>155 kt, Faulting</t>
  </si>
  <si>
    <t>Oil and Gas</t>
  </si>
  <si>
    <t>Oil and Water extraction</t>
  </si>
  <si>
    <t>Fashing Region (D Cluster)</t>
  </si>
  <si>
    <t>Frohlich and Brunt (2013)</t>
  </si>
  <si>
    <t>Dimmit County (K Cluster), Texas</t>
  </si>
  <si>
    <t>10.4 (combined wells)</t>
  </si>
  <si>
    <t>Dimmit County (M Cluster), Texas</t>
  </si>
  <si>
    <t>17.8 (combined wells)</t>
  </si>
  <si>
    <t>Fashing Region (H Cluster)</t>
  </si>
  <si>
    <t>Fashing Region (G Cluster)</t>
  </si>
  <si>
    <t>Fashing Region (C Cluster)</t>
  </si>
  <si>
    <t>Fashing Region (Event B)</t>
  </si>
  <si>
    <t>Dimmit County (L Cluster), Texas</t>
  </si>
  <si>
    <t>1.2 (combined wells)</t>
  </si>
  <si>
    <t>Oil and Gas/Waste fluid injection</t>
  </si>
  <si>
    <t>Oil and Gas/Wastewater injection</t>
  </si>
  <si>
    <t>Cavone and San Giacomo fields, Mirandola License (Emilia sequence)</t>
  </si>
  <si>
    <t>1980 (production), 1993 (injection)</t>
  </si>
  <si>
    <t>2012 (May)</t>
  </si>
  <si>
    <t>5000-10000</t>
  </si>
  <si>
    <t>1800-2900 (production, 3302-3367 (injection)</t>
  </si>
  <si>
    <t>Several M5 historic events</t>
  </si>
  <si>
    <t>15 (Cavone)</t>
  </si>
  <si>
    <t xml:space="preserve">3184865 (produced), 2850000 (injected) </t>
  </si>
  <si>
    <t>Highly debated case. Astiz et al. (2014), Dahm et al. (2015), Juanes et al. (2016), Albano et al. (2017) consider induction unlikely. Cavone 14 reinjection well data.</t>
  </si>
  <si>
    <t>Gasparini et al. (2015), Styles et al. (2014)</t>
  </si>
  <si>
    <t>Fashing Region (F Cluster), Texas</t>
  </si>
  <si>
    <t>12.3 (injection), 6.1 (water production)</t>
  </si>
  <si>
    <t>Bakken, North Dakota</t>
  </si>
  <si>
    <t>Frohlich et al. (2015)</t>
  </si>
  <si>
    <t>Cedar Creek Anticline, Montana</t>
  </si>
  <si>
    <t>Research</t>
  </si>
  <si>
    <t>Research and Secondary recovery (water injection)</t>
  </si>
  <si>
    <t>Rangely, Colorado</t>
  </si>
  <si>
    <t>1969 (October)</t>
  </si>
  <si>
    <t>2000-3500</t>
  </si>
  <si>
    <t>Monitoring from 1969. Stress change is based on pore pressure increase from initial (162 bars) to the defined critical value (257 bars)</t>
  </si>
  <si>
    <t>Klose (2013), Raleigh et al. (1976), Nicholson and Wesson (1992)</t>
  </si>
  <si>
    <t>Water injection</t>
  </si>
  <si>
    <t>Wairakei</t>
  </si>
  <si>
    <t>21 hours</t>
  </si>
  <si>
    <t>1984 (June)</t>
  </si>
  <si>
    <t>Volcanics (Pumice breccia and Ignimbrite)</t>
  </si>
  <si>
    <t>781-1440</t>
  </si>
  <si>
    <t>Transform/Convergent</t>
  </si>
  <si>
    <t>Allis et al. (1985), Davis and Frohlich (1993)</t>
  </si>
  <si>
    <t>Research (injection)</t>
  </si>
  <si>
    <t>Tongonan Geothermal field</t>
  </si>
  <si>
    <t>mc</t>
  </si>
  <si>
    <t>1308-2177</t>
  </si>
  <si>
    <t>coda magnitude</t>
  </si>
  <si>
    <t>Prioul et al. (2000)</t>
  </si>
  <si>
    <t>Matsushiro</t>
  </si>
  <si>
    <t>Volcanics (Basalt, Andesite and Tuff), Shale and Quartz-diorite</t>
  </si>
  <si>
    <t>1072-1800</t>
  </si>
  <si>
    <t>Swarms starting in 1965</t>
  </si>
  <si>
    <t>Ohtake (1974)</t>
  </si>
  <si>
    <t>Brine (KBr, KCl) injection</t>
  </si>
  <si>
    <t>KTB</t>
  </si>
  <si>
    <t>8600-8900</t>
  </si>
  <si>
    <t>9030-9100</t>
  </si>
  <si>
    <t>&lt;1</t>
  </si>
  <si>
    <t>MW 1.4 from McGarr (2014) based on Jost et al. (1998)</t>
  </si>
  <si>
    <t>Zoback and Harjes (1997), Jost et al. (1998), Evans et al. (2012), McGarr (2014)</t>
  </si>
  <si>
    <t>WFSD-3P</t>
  </si>
  <si>
    <t>400-480</t>
  </si>
  <si>
    <t>430-510</t>
  </si>
  <si>
    <t>Magnitude usually &lt;1</t>
  </si>
  <si>
    <t>Fluid injection</t>
  </si>
  <si>
    <t>2004 (June)</t>
  </si>
  <si>
    <t>2004 (September)</t>
  </si>
  <si>
    <t>Pressure from figure 3</t>
  </si>
  <si>
    <t>Haney et al. (2011), Shapiro et al. (2006), Serge Shapiro (personal communication, 2016, shapiro@geophysik.fu-berlin.de)</t>
  </si>
  <si>
    <t>Nojima</t>
  </si>
  <si>
    <t>1480-1670</t>
  </si>
  <si>
    <t>Two injection periods but merged here</t>
  </si>
  <si>
    <t>Tadokoro et al. (2000)</t>
  </si>
  <si>
    <t>3300-9000</t>
  </si>
  <si>
    <t>Volume mistake in Evans et al. (2012)</t>
  </si>
  <si>
    <t>Research (solution mining)</t>
  </si>
  <si>
    <t>Cerville-Buissoncourt</t>
  </si>
  <si>
    <t>200-250</t>
  </si>
  <si>
    <t>Kinscher et al. (2015), Mercerat et al. (2010)</t>
  </si>
  <si>
    <t>Laboratoire Souterrain à Bas Bruit</t>
  </si>
  <si>
    <t>Guglielmi et al. (2015)</t>
  </si>
  <si>
    <t>Mine flooding</t>
  </si>
  <si>
    <t>Hope mine</t>
  </si>
  <si>
    <t>1984 (March)</t>
  </si>
  <si>
    <t>Heick and Flach (1989)</t>
  </si>
  <si>
    <t>Waste disposal</t>
  </si>
  <si>
    <t>Frio Formation, Beaumont, near Jasper County, Texas</t>
  </si>
  <si>
    <t>1349-1407</t>
  </si>
  <si>
    <t>Uncertain location (very approximate coordinates)</t>
  </si>
  <si>
    <t>Keck and Withers (1994), Phillips et al. (2002)</t>
  </si>
  <si>
    <t>Research (minifrac injection)</t>
  </si>
  <si>
    <t>SB3, Deep Underground rock Laboratory (DUG Lab) at Grimsel Test Site (GTS)</t>
  </si>
  <si>
    <t>Granite and Granodiorite</t>
  </si>
  <si>
    <t>Vogler et al. (2017)</t>
  </si>
  <si>
    <t>Waste fluid disposal</t>
  </si>
  <si>
    <t>Wastewater (injection)</t>
  </si>
  <si>
    <t>Pawnee, Oklahoma</t>
  </si>
  <si>
    <t>Manga et al. (2016), McGarr and Barbour (2017), Yeck et al. (2017)</t>
  </si>
  <si>
    <t>Prague, Oklahoma</t>
  </si>
  <si>
    <t>17 years</t>
  </si>
  <si>
    <t>MW5 foreshock, MW5 aftershock, &gt;10000 aftershocks</t>
  </si>
  <si>
    <t>1300-2100</t>
  </si>
  <si>
    <t>Keranen et al. (2013b)</t>
  </si>
  <si>
    <t>Raton Basin, Colorado and New Mexico</t>
  </si>
  <si>
    <t>1994 (November)</t>
  </si>
  <si>
    <t>1250-2100</t>
  </si>
  <si>
    <t>Rubenstein et al. (2012), Rubenstein et al. (2014)</t>
  </si>
  <si>
    <t xml:space="preserve">Rongchang gas field </t>
  </si>
  <si>
    <t>1988 (July)</t>
  </si>
  <si>
    <t>1988 (September)</t>
  </si>
  <si>
    <t>&gt;32000</t>
  </si>
  <si>
    <t>3000-20000</t>
  </si>
  <si>
    <t>2600-2900</t>
  </si>
  <si>
    <t>Frequent seismic activity 2 months after injection started</t>
  </si>
  <si>
    <t>Fairview, Oklahoma</t>
  </si>
  <si>
    <t>1990s (mid)</t>
  </si>
  <si>
    <t>Basement</t>
  </si>
  <si>
    <t>6000-9000</t>
  </si>
  <si>
    <t>Rate is based on summed rate of a number of wells (Figure 1a of Yeck et al., 2016)</t>
  </si>
  <si>
    <t>Yeck et al. (2016), McGarr and Barbour (2017)</t>
  </si>
  <si>
    <t>Painesville (Perry), Ohio</t>
  </si>
  <si>
    <t>1975 (March)</t>
  </si>
  <si>
    <t>13 aftershocks</t>
  </si>
  <si>
    <t>2000-6100</t>
  </si>
  <si>
    <t>3.6 (calculated)</t>
  </si>
  <si>
    <t>McGarr (2014), Nicholson et al. (1988)</t>
  </si>
  <si>
    <t>Rocky Mountain Arsenal (Denver), Colorado</t>
  </si>
  <si>
    <t>1966 (February)</t>
  </si>
  <si>
    <t>1962 (April)</t>
  </si>
  <si>
    <t>1967 (August)</t>
  </si>
  <si>
    <t>3700-7000</t>
  </si>
  <si>
    <t>3650-3671</t>
  </si>
  <si>
    <t>MW 4.85 comes from seismic moment of 2.1e16 Nm</t>
  </si>
  <si>
    <t>Evans (1966), Healy et al. (1968), Hsieh and Bredehoeft (1981), Nicholson (1992), Nicholoson and Wesson (1992), McGarr et al. (2002), McGarr (2014)</t>
  </si>
  <si>
    <t>Timpson, East Texas</t>
  </si>
  <si>
    <t>2006 (September)</t>
  </si>
  <si>
    <t>2008 (April)</t>
  </si>
  <si>
    <t>MWrmt</t>
  </si>
  <si>
    <t>1600-4600</t>
  </si>
  <si>
    <t>1800-1900</t>
  </si>
  <si>
    <t>Frohlich et al. (2014)</t>
  </si>
  <si>
    <t>Arkansas</t>
  </si>
  <si>
    <t>3000-7000</t>
  </si>
  <si>
    <t>1821-3344</t>
  </si>
  <si>
    <t>Injection rate a combination of wells 1 and 5 based on figure 10b</t>
  </si>
  <si>
    <t>Horton (2012), McGarr (2014)</t>
  </si>
  <si>
    <t>Wastewater injection</t>
  </si>
  <si>
    <t>Kern River, Kern County, California</t>
  </si>
  <si>
    <t>Goebel et al. (2015)</t>
  </si>
  <si>
    <t>Tejon, Central Valley (WWF), Kern County, California</t>
  </si>
  <si>
    <t>4000-11000</t>
  </si>
  <si>
    <t>Goebel et al. (2015), Goebel et al. (2016)</t>
  </si>
  <si>
    <t>Huangjiachang gas field</t>
  </si>
  <si>
    <t>&gt;7000</t>
  </si>
  <si>
    <t>2450-2550</t>
  </si>
  <si>
    <t>Small number with M&lt;2.5 detected during non-pumping phase</t>
  </si>
  <si>
    <t>1 (could be of this order)</t>
  </si>
  <si>
    <t>Volume is non-pressurised (150,000) + pressurised injection periods (130,000)</t>
  </si>
  <si>
    <t>Brine injection</t>
  </si>
  <si>
    <t>Paradox Valley, Colorado</t>
  </si>
  <si>
    <t>111 days</t>
  </si>
  <si>
    <t>3350 (within 10 km May 1996 to 2003 December)</t>
  </si>
  <si>
    <t>Carbonate, Sandstone and Schist</t>
  </si>
  <si>
    <t>3500-6000</t>
  </si>
  <si>
    <t>4300-4800</t>
  </si>
  <si>
    <t>36 (approx calculation)</t>
  </si>
  <si>
    <t>Cushing, Oklahoma</t>
  </si>
  <si>
    <t>17 days</t>
  </si>
  <si>
    <t>Summed max rate for the three wells (Fig. S5)</t>
  </si>
  <si>
    <t>McNamara et al. (2015b), McGarr and Barbour (2017)</t>
  </si>
  <si>
    <t>Ashtabula, Ohio</t>
  </si>
  <si>
    <t>1994 (June)</t>
  </si>
  <si>
    <t>1750-3750</t>
  </si>
  <si>
    <t>Nicholson (1992), Nicholoson and Wesson (1992), Seeber et al. (2004)</t>
  </si>
  <si>
    <t>Lost Hills, Kern County, California</t>
  </si>
  <si>
    <t>Dagger Draw, New Mexico</t>
  </si>
  <si>
    <t>2005 (December)</t>
  </si>
  <si>
    <t>Carbonate?</t>
  </si>
  <si>
    <t>Summed rate and volume for three wells</t>
  </si>
  <si>
    <t>Petersen et al. (2015), Sanford et al. (2006)</t>
  </si>
  <si>
    <t>Marcotte oil field (Palco), Kansas</t>
  </si>
  <si>
    <t>Armbruster et al. (1989), Buchanan et al. (2015)</t>
  </si>
  <si>
    <t>Graham (Montney Trend)</t>
  </si>
  <si>
    <t>2002 (January)</t>
  </si>
  <si>
    <t>Injection data based on page 32 of report</t>
  </si>
  <si>
    <t>Guthrie, Oklahoma</t>
  </si>
  <si>
    <t>3000-8000</t>
  </si>
  <si>
    <t>1860-2040</t>
  </si>
  <si>
    <t>Operation depth of two closest wells</t>
  </si>
  <si>
    <t>Benz et al. (2015)</t>
  </si>
  <si>
    <t>Jones, Oklahoma</t>
  </si>
  <si>
    <t>2008?</t>
  </si>
  <si>
    <t>2200-3500</t>
  </si>
  <si>
    <t>0.07 (modelled)</t>
  </si>
  <si>
    <t>Injection data for 4 wells combined (Fig. 3)</t>
  </si>
  <si>
    <t>Keranen et al. (2013a), Keranen et al. (2014)</t>
  </si>
  <si>
    <t>Cordel (Brazeau Cluster)</t>
  </si>
  <si>
    <t>1991 (October)</t>
  </si>
  <si>
    <t>3796-3896</t>
  </si>
  <si>
    <t>Schlutz et al. (2014)</t>
  </si>
  <si>
    <t>Youngstown, Ohio</t>
  </si>
  <si>
    <t>13 days</t>
  </si>
  <si>
    <t>3500-4000</t>
  </si>
  <si>
    <t>2504-2802</t>
  </si>
  <si>
    <t>&gt;200 felt since 1776 in Ohio. None within study area</t>
  </si>
  <si>
    <t>Kim (2013)</t>
  </si>
  <si>
    <t>Lake Charles, Louisiana</t>
  </si>
  <si>
    <t>Cleburne, Texas</t>
  </si>
  <si>
    <t>54+</t>
  </si>
  <si>
    <t>3200, 1300</t>
  </si>
  <si>
    <t>1620-4970</t>
  </si>
  <si>
    <t>2397-3278</t>
  </si>
  <si>
    <t>Frohlich et al. (2016), Justinic et al. (2013)</t>
  </si>
  <si>
    <t>Dallas-Fort Worth, Texas</t>
  </si>
  <si>
    <t>4400-4800</t>
  </si>
  <si>
    <t>3300-4200</t>
  </si>
  <si>
    <t>Approximate volume of southwest SWD using figure 13</t>
  </si>
  <si>
    <t>Frohlich et al. (2011)</t>
  </si>
  <si>
    <t>Greeley, Colorado</t>
  </si>
  <si>
    <t>Yeck et al. (2014)</t>
  </si>
  <si>
    <t>Pintail (Montney Trend)</t>
  </si>
  <si>
    <t>2012 (August)</t>
  </si>
  <si>
    <t>Injection data based on page 31 of report</t>
  </si>
  <si>
    <t>Lillian (J-A cluster), Barnett Shale, Texas</t>
  </si>
  <si>
    <t>67 &gt;1.5M</t>
  </si>
  <si>
    <t>Paper is an overview of Barnett Shale - not a single operation</t>
  </si>
  <si>
    <t>Frohlich (2012)</t>
  </si>
  <si>
    <t>El Dorado, Arkansas</t>
  </si>
  <si>
    <t>Deep fluid injection</t>
  </si>
  <si>
    <t>Avoca, New York</t>
  </si>
  <si>
    <t>Mblg</t>
  </si>
  <si>
    <t>Armbruster (2001) (unpublished data) in Seeber et al. (2004)</t>
  </si>
  <si>
    <t>Val d'Agri oil field (CM2 well)</t>
  </si>
  <si>
    <t>2000-5500</t>
  </si>
  <si>
    <t>2890-3096</t>
  </si>
  <si>
    <t>Fashing Region (A Cluster), Texas</t>
  </si>
  <si>
    <t>Dimmit County (Event J), Texas</t>
  </si>
  <si>
    <t>Injection rate is a typical rate of wells near J</t>
  </si>
  <si>
    <t>Center, Texas</t>
  </si>
  <si>
    <t>−94.210</t>
  </si>
  <si>
    <t>Seismicity prior to injection (injection may have enhanced seismicity)</t>
  </si>
  <si>
    <t>Cedar Creek Anticline, North Dakota</t>
  </si>
  <si>
    <t>−103.960</t>
  </si>
  <si>
    <t>Summed injection data for wells within a 10 km radius</t>
  </si>
  <si>
    <t>Water reservoir impoundment</t>
  </si>
  <si>
    <t>Zipingpu (Wenchuan earthquake)</t>
  </si>
  <si>
    <t>2006 (December)</t>
  </si>
  <si>
    <t>M &gt; 6: 1933, 1941, 1958, 1970, 1976, 1989</t>
  </si>
  <si>
    <t>Lake Hebgen, Montana</t>
  </si>
  <si>
    <t>MS</t>
  </si>
  <si>
    <t>Greece</t>
  </si>
  <si>
    <t>Polyphyto</t>
  </si>
  <si>
    <t>Pavlou et al. (2013)</t>
  </si>
  <si>
    <t>Koyna</t>
  </si>
  <si>
    <t>Gupta (2002), Klose (2013), Talwani (1995)</t>
  </si>
  <si>
    <t>Zambia–Zimbabwe</t>
  </si>
  <si>
    <t>Kariba</t>
  </si>
  <si>
    <t>1959 (February)</t>
  </si>
  <si>
    <t>Gough and Gough (1970), Guha and Patil (1990), Gupta (2002)</t>
  </si>
  <si>
    <t>Kremasta</t>
  </si>
  <si>
    <t>Guha and Patil (1990), Gupta (2002)</t>
  </si>
  <si>
    <t>Hsinfengkiang (Hsingfengchiang, Xinfengjiang)</t>
  </si>
  <si>
    <t>Guha and Patil (1990), Gupta (2002), Klose (2013)</t>
  </si>
  <si>
    <t>Killari</t>
  </si>
  <si>
    <t>Thailand</t>
  </si>
  <si>
    <t>Srinagarind</t>
  </si>
  <si>
    <t>Gupta (2002), Klose (2013)</t>
  </si>
  <si>
    <t>Oroville, California</t>
  </si>
  <si>
    <t>Marathon</t>
  </si>
  <si>
    <t>Egypt</t>
  </si>
  <si>
    <t>Aswan</t>
  </si>
  <si>
    <t>4000-8000, 14000-26000</t>
  </si>
  <si>
    <t>Gupta (2002)</t>
  </si>
  <si>
    <t>Pournari</t>
  </si>
  <si>
    <t>5000-15000</t>
  </si>
  <si>
    <t>Pavlou et al. (2016)</t>
  </si>
  <si>
    <t>Warragamba (Varragamba)</t>
  </si>
  <si>
    <t>Gibson and Sandiford (2013), Guha and Patil (1990)</t>
  </si>
  <si>
    <t>Asomata</t>
  </si>
  <si>
    <t>Ghana</t>
  </si>
  <si>
    <t>Akosombo</t>
  </si>
  <si>
    <t>1964 (November)</t>
  </si>
  <si>
    <t>Guha (2000), Guha and Patil (1990), NRC (2013)</t>
  </si>
  <si>
    <t>Kinnersani</t>
  </si>
  <si>
    <t>Charvak</t>
  </si>
  <si>
    <t>Monteynard</t>
  </si>
  <si>
    <t>Coyote Valley (Anderson Dam), California</t>
  </si>
  <si>
    <t>Shenwo/Shenwu</t>
  </si>
  <si>
    <t>Sfikia</t>
  </si>
  <si>
    <t>Three Gorges</t>
  </si>
  <si>
    <t>0-15000</t>
  </si>
  <si>
    <t>0.008-0.011</t>
  </si>
  <si>
    <t>Thomson</t>
  </si>
  <si>
    <t>Gibson and Sandiford (2013), Gupta (2002), Klose (2013)</t>
  </si>
  <si>
    <t>Eucumbene</t>
  </si>
  <si>
    <t>Benmore</t>
  </si>
  <si>
    <t>Warna (Warana)</t>
  </si>
  <si>
    <t>Zambia</t>
  </si>
  <si>
    <t>Itezhi-Tezhi</t>
  </si>
  <si>
    <t>Hoover Dam (Lake Mead), Nevada/Arizona</t>
  </si>
  <si>
    <t>Bhatsa</t>
  </si>
  <si>
    <t>1983 (July)</t>
  </si>
  <si>
    <t>1990 (September)</t>
  </si>
  <si>
    <t>6 years</t>
  </si>
  <si>
    <t>Chadha (1995), Gupta (2002), Klose (2013)</t>
  </si>
  <si>
    <t>Kerr, Montana</t>
  </si>
  <si>
    <t>Kurobe</t>
  </si>
  <si>
    <t>Serbia</t>
  </si>
  <si>
    <t>Bajina Basta</t>
  </si>
  <si>
    <t>Vietnam</t>
  </si>
  <si>
    <t>Hoa Binh</t>
  </si>
  <si>
    <t>Lake Baikal</t>
  </si>
  <si>
    <t>Iran</t>
  </si>
  <si>
    <t>Sefia Rud</t>
  </si>
  <si>
    <t>Canelles</t>
  </si>
  <si>
    <t>Danjiangkou</t>
  </si>
  <si>
    <t>McNaughton (Mica)</t>
  </si>
  <si>
    <t>Anderson, Idaho</t>
  </si>
  <si>
    <t>Georgia</t>
  </si>
  <si>
    <t>Enguri (Inguri)</t>
  </si>
  <si>
    <t>≤32000</t>
  </si>
  <si>
    <t>Song Tranh 2</t>
  </si>
  <si>
    <t>2010 (November)</t>
  </si>
  <si>
    <t>2011 (January)</t>
  </si>
  <si>
    <t>Wiszniowski et al. (2015)</t>
  </si>
  <si>
    <t>Tadjikistan</t>
  </si>
  <si>
    <t>Nurek</t>
  </si>
  <si>
    <t>Kastraki</t>
  </si>
  <si>
    <t>Kyrgyzstan</t>
  </si>
  <si>
    <t>Toktogul</t>
  </si>
  <si>
    <t>Lake Pukaki</t>
  </si>
  <si>
    <t>1983 (November)</t>
  </si>
  <si>
    <t>&lt;15000</t>
  </si>
  <si>
    <t>Gupta (2002), Reyners (1988)</t>
  </si>
  <si>
    <t>Itoiz</t>
  </si>
  <si>
    <t>&gt;2350, &gt;1M</t>
  </si>
  <si>
    <t>Jiménez et al. (2009)</t>
  </si>
  <si>
    <t>Foziling</t>
  </si>
  <si>
    <t>Dahua</t>
  </si>
  <si>
    <t>Vouglans</t>
  </si>
  <si>
    <t>Pieve de Cadore</t>
  </si>
  <si>
    <t>Piastra</t>
  </si>
  <si>
    <t>Dongjing/Dongqing</t>
  </si>
  <si>
    <t>2009 (September)</t>
  </si>
  <si>
    <t>3000-11000</t>
  </si>
  <si>
    <t>Clark Hill, South Carolina/Georgia</t>
  </si>
  <si>
    <t>Karun III</t>
  </si>
  <si>
    <t>2006 (March)</t>
  </si>
  <si>
    <t>2005 (January)</t>
  </si>
  <si>
    <t>0-12000, 15000-30000</t>
  </si>
  <si>
    <t>Flooding in May rapidly increased water level</t>
  </si>
  <si>
    <t>Kangi and Heidari (2008)</t>
  </si>
  <si>
    <t>Bratsk</t>
  </si>
  <si>
    <t>Albania</t>
  </si>
  <si>
    <t>Komani</t>
  </si>
  <si>
    <t>Longtan</t>
  </si>
  <si>
    <t>3000-13000</t>
  </si>
  <si>
    <t>Armenia</t>
  </si>
  <si>
    <t>Tolors</t>
  </si>
  <si>
    <t>2 historical earthquakes of M6.5 and M6.3</t>
  </si>
  <si>
    <t>Sargsyan (2009)</t>
  </si>
  <si>
    <t>Mica</t>
  </si>
  <si>
    <t>Guha and Patil (1990)</t>
  </si>
  <si>
    <t>Camarillas</t>
  </si>
  <si>
    <t>Transform/Complex/Uncertain</t>
  </si>
  <si>
    <t>Manicouagan 3, Quebec</t>
  </si>
  <si>
    <t>6 weeks</t>
  </si>
  <si>
    <t>Nova Ponte</t>
  </si>
  <si>
    <t>1993 (October)</t>
  </si>
  <si>
    <t>1998 (May)</t>
  </si>
  <si>
    <t>Tous New</t>
  </si>
  <si>
    <t>Torcal et al. (2005)</t>
  </si>
  <si>
    <t>Paraguay</t>
  </si>
  <si>
    <t>Yacyreta</t>
  </si>
  <si>
    <t>mR</t>
  </si>
  <si>
    <t>Barros et al. (2001)</t>
  </si>
  <si>
    <t>Jocassee, South Carolina</t>
  </si>
  <si>
    <t>&lt;4000</t>
  </si>
  <si>
    <t>2 historical EQs before impoundment</t>
  </si>
  <si>
    <t>Guha and Patil (1990), Gupta (2002), Rajendran (1995)</t>
  </si>
  <si>
    <t>High seismicity region</t>
  </si>
  <si>
    <t>Start date of earthquakes is pronounced increase in seismicity, not start date</t>
  </si>
  <si>
    <t>Leakage from pumping between reservoirs (unintentional injection)</t>
  </si>
  <si>
    <t>Beni Haroun dam/reservoir and the Oued Athmania reservoir</t>
  </si>
  <si>
    <t>&gt;7200</t>
  </si>
  <si>
    <t>0-3000</t>
  </si>
  <si>
    <t>Injection rate based on 0.7 Hm3/day and 55% leaked</t>
  </si>
  <si>
    <t>Semmane et al. (2012)</t>
  </si>
  <si>
    <t>Keowee, South Carolina</t>
  </si>
  <si>
    <t>Capivara</t>
  </si>
  <si>
    <t>Palisades, Idaho</t>
  </si>
  <si>
    <t>Carmo do Cajuru</t>
  </si>
  <si>
    <t>LG 3, Quebec</t>
  </si>
  <si>
    <t>Pakistan</t>
  </si>
  <si>
    <t>Mangla</t>
  </si>
  <si>
    <t>1967 (March)</t>
  </si>
  <si>
    <t>86, in 21 months after impoundment</t>
  </si>
  <si>
    <t>Seismically active region capable of very large eqs</t>
  </si>
  <si>
    <t>Shengjiaxia (Shenjia Xiashuiku)</t>
  </si>
  <si>
    <t>Czorsztyn Lake</t>
  </si>
  <si>
    <t>2000-9000</t>
  </si>
  <si>
    <t>Lac de Salanfe</t>
  </si>
  <si>
    <t>Eguzon</t>
  </si>
  <si>
    <t>Nagarjuna Sagar</t>
  </si>
  <si>
    <t>Hitotsuse</t>
  </si>
  <si>
    <t>magnitude ≥3.5</t>
  </si>
  <si>
    <t>Arimine</t>
  </si>
  <si>
    <t>Kuzuryu</t>
  </si>
  <si>
    <t>Midono</t>
  </si>
  <si>
    <t>Makio</t>
  </si>
  <si>
    <t>Miomote</t>
  </si>
  <si>
    <t>Nagawado</t>
  </si>
  <si>
    <t>Narugo</t>
  </si>
  <si>
    <t>Ohkura</t>
  </si>
  <si>
    <t>Tohri (Tori)</t>
  </si>
  <si>
    <t>Uchikawa</t>
  </si>
  <si>
    <t>Yuda</t>
  </si>
  <si>
    <t>Blowering</t>
  </si>
  <si>
    <t>Talbingo</t>
  </si>
  <si>
    <t>Idukki</t>
  </si>
  <si>
    <t>Keban</t>
  </si>
  <si>
    <t>Yantan</t>
  </si>
  <si>
    <t>Emosson</t>
  </si>
  <si>
    <t>Gandipet (Osman Sagar)</t>
  </si>
  <si>
    <t>Gupta (2002), Klose (2013), Rastogi et al. (1986)</t>
  </si>
  <si>
    <t>Ridracoli</t>
  </si>
  <si>
    <t>&gt;2600</t>
  </si>
  <si>
    <t>Gupta (2002), Piccinelli et al. (1995)</t>
  </si>
  <si>
    <t>Balbina</t>
  </si>
  <si>
    <t>1987 (October)</t>
  </si>
  <si>
    <t>Lubuge</t>
  </si>
  <si>
    <t>Wujiangdu</t>
  </si>
  <si>
    <t>Serre-Poncen</t>
  </si>
  <si>
    <t>Sriramsagar</t>
  </si>
  <si>
    <t>Zhelin</t>
  </si>
  <si>
    <t>Shuikou</t>
  </si>
  <si>
    <t>Lesotho</t>
  </si>
  <si>
    <t>Katse</t>
  </si>
  <si>
    <t>Jaguari</t>
  </si>
  <si>
    <t>1969 (December)</t>
  </si>
  <si>
    <t>Rihand</t>
  </si>
  <si>
    <t>Gahalaut et al. (2007)</t>
  </si>
  <si>
    <t>Mangalam</t>
  </si>
  <si>
    <t>Parambikulam</t>
  </si>
  <si>
    <t>Ukai</t>
  </si>
  <si>
    <t>Tsengwen (Zengwen)</t>
  </si>
  <si>
    <t>Oued Fodda</t>
  </si>
  <si>
    <t>1933 (May)</t>
  </si>
  <si>
    <t>Contra</t>
  </si>
  <si>
    <t>1965 (October)</t>
  </si>
  <si>
    <t>Qianjin</t>
  </si>
  <si>
    <t>Shasta, California</t>
  </si>
  <si>
    <t>Bosnia and Herzegovina</t>
  </si>
  <si>
    <t>Grancarevo</t>
  </si>
  <si>
    <t>Kamafusa</t>
  </si>
  <si>
    <t>Paraibuna–Paraitinga</t>
  </si>
  <si>
    <t>Cyprus</t>
  </si>
  <si>
    <t>Kouris</t>
  </si>
  <si>
    <t>1994-1995</t>
  </si>
  <si>
    <t>Vajont</t>
  </si>
  <si>
    <t>Tarbela</t>
  </si>
  <si>
    <t>1974 (August)</t>
  </si>
  <si>
    <t>Mahdi (1988)</t>
  </si>
  <si>
    <t>Monticello (Fairfield), California</t>
  </si>
  <si>
    <t>1978 (October)</t>
  </si>
  <si>
    <t>Tongjiezi</t>
  </si>
  <si>
    <t>Vidra Lotru</t>
  </si>
  <si>
    <t>Vidraru-Arges</t>
  </si>
  <si>
    <t>Nanchong</t>
  </si>
  <si>
    <t>Hunanzhen</t>
  </si>
  <si>
    <t>Heron, New Mexico</t>
  </si>
  <si>
    <t>Carpenter and El-Hussain (2015), El-Hussain and Carpenter (1990)</t>
  </si>
  <si>
    <t>Takase</t>
  </si>
  <si>
    <t>Fierza</t>
  </si>
  <si>
    <t>Kadana</t>
  </si>
  <si>
    <t>Miranda</t>
  </si>
  <si>
    <t>1997 (August)</t>
  </si>
  <si>
    <t>Huangshi</t>
  </si>
  <si>
    <t>Nanshui</t>
  </si>
  <si>
    <t>Serra da Mesa</t>
  </si>
  <si>
    <t>1996 (October)</t>
  </si>
  <si>
    <t>Sainte-Croix</t>
  </si>
  <si>
    <t>Pertusillio</t>
  </si>
  <si>
    <t>2000 (May)</t>
  </si>
  <si>
    <t>2001 (May)</t>
  </si>
  <si>
    <t>1561 (Me 6.5), 1857 (Me 7), Swarms in 1996 and 2000</t>
  </si>
  <si>
    <t>Valoroso et al. (2009)</t>
  </si>
  <si>
    <t>Marimbondo</t>
  </si>
  <si>
    <t>Cabin Creek, Colorado</t>
  </si>
  <si>
    <t>Almendra</t>
  </si>
  <si>
    <t>Sholayar</t>
  </si>
  <si>
    <t>Sharavathi (Sharavati)</t>
  </si>
  <si>
    <t>Ievorul Muntelui-Bicaz</t>
  </si>
  <si>
    <t>Austria</t>
  </si>
  <si>
    <t>Schlegeis</t>
  </si>
  <si>
    <t>1973 (April)</t>
  </si>
  <si>
    <t>Hendrik Verwoerd (Gariep)</t>
  </si>
  <si>
    <t>Sobradinho</t>
  </si>
  <si>
    <t>Mula</t>
  </si>
  <si>
    <t>Castanhão</t>
  </si>
  <si>
    <t>2003 (October)</t>
  </si>
  <si>
    <t>Toulnustouc</t>
  </si>
  <si>
    <t>Lamontagne et al. (2008)</t>
  </si>
  <si>
    <t>Hydroelectric tunnel</t>
  </si>
  <si>
    <t>Grandval</t>
  </si>
  <si>
    <t>El Cenajo</t>
  </si>
  <si>
    <t>Gordon River Power Development Storage</t>
  </si>
  <si>
    <t>El Grado</t>
  </si>
  <si>
    <t>La Cohilla</t>
  </si>
  <si>
    <t>Rocky Reach, Washington</t>
  </si>
  <si>
    <t>San Luis, California</t>
  </si>
  <si>
    <t>Sanford, Michigan</t>
  </si>
  <si>
    <t>Samgori-Ninotsminda (Tbilisis hydrothermal area)</t>
  </si>
  <si>
    <t>Chelidze et al. (2008)</t>
  </si>
  <si>
    <t>12 (Avg)</t>
  </si>
  <si>
    <t>m3/min</t>
  </si>
  <si>
    <t>70 (Avg)</t>
  </si>
  <si>
    <t>Fox Creek (SS17)</t>
  </si>
  <si>
    <t>Schultz et al. (2017)</t>
  </si>
  <si>
    <t>Fox Creek (SS6) Alberta (Waskahigan and McKinley fields) (Well Pad 1)</t>
  </si>
  <si>
    <t>Bao and Eaton (2016), Kao et al. (2015), Schultz et al. (2015b), Schultz et al. (2017)</t>
  </si>
  <si>
    <t>Fox Creek (SS10)</t>
  </si>
  <si>
    <t>2015 (June)</t>
  </si>
  <si>
    <t>3400-4500</t>
  </si>
  <si>
    <t>Wang et al. (2016), Schultz et al. (2017)</t>
  </si>
  <si>
    <t>Fox Creek (SS7) (Well Pad 3)</t>
  </si>
  <si>
    <t>Bao and Eaton (2016), Schultz et al. (2017)</t>
  </si>
  <si>
    <t>Weiyuan site</t>
  </si>
  <si>
    <t>Fox Creek (SS1, SS4)</t>
  </si>
  <si>
    <t>2014 (May)</t>
  </si>
  <si>
    <t>Schlutz et al. (2015b), Schultz et al. (2017)</t>
  </si>
  <si>
    <t>Fox Creek (SS9) (Well Pad 6)</t>
  </si>
  <si>
    <t>Fox Creek (SS3)</t>
  </si>
  <si>
    <t>2014 (April)</t>
  </si>
  <si>
    <t>Fox Creek (SS5)</t>
  </si>
  <si>
    <t>2014 (August)</t>
  </si>
  <si>
    <t>2300-4500</t>
  </si>
  <si>
    <t>Fox Creek (SS12)</t>
  </si>
  <si>
    <t>2015 (August)</t>
  </si>
  <si>
    <t>2015 (September)</t>
  </si>
  <si>
    <t>Fox Creek (SS2)</t>
  </si>
  <si>
    <t>2014 (February)</t>
  </si>
  <si>
    <t>4000-6200</t>
  </si>
  <si>
    <t>Fox Creek (SS14)</t>
  </si>
  <si>
    <t>Fox Creek (SS16)</t>
  </si>
  <si>
    <t>2015 (November)</t>
  </si>
  <si>
    <t>2015 (December)</t>
  </si>
  <si>
    <t>Fox Creek (SS8) (Well Pad 2)</t>
  </si>
  <si>
    <t>Fox Creek (SS11)</t>
  </si>
  <si>
    <t>Fox Creek (SS13)</t>
  </si>
  <si>
    <t>Fox Creek (SS15)</t>
  </si>
  <si>
    <t>2011 (September)</t>
  </si>
  <si>
    <t>Pohang (PX-1)</t>
  </si>
  <si>
    <t>Kim et al. (2017)</t>
  </si>
  <si>
    <t>-0.003-0.008</t>
  </si>
  <si>
    <t>Moab Khotsong near Orkney</t>
  </si>
  <si>
    <t>Durrheim (2015a), Voosen (2017)</t>
  </si>
  <si>
    <t>East Rand Proprietary Mine (ERPM)</t>
  </si>
  <si>
    <t>Durrheim (2015b), Durrheim and Raymond (2015)</t>
  </si>
  <si>
    <t>4-10</t>
  </si>
  <si>
    <t>8-50</t>
  </si>
  <si>
    <t>6-16</t>
  </si>
  <si>
    <t>Venus, Texas</t>
  </si>
  <si>
    <t>2607.56-3962.40</t>
  </si>
  <si>
    <t>0.9-4.8</t>
  </si>
  <si>
    <t>Cumulative effect of five injector wells is hypothesised</t>
  </si>
  <si>
    <t>Scales et al. (2017)</t>
  </si>
  <si>
    <t>-0.02-0.05</t>
  </si>
  <si>
    <t>Peinke et al. (2006), Matcharashvili et al. (2007), Telesca et al. (2012), Matcharashvili et al. (2016)</t>
  </si>
  <si>
    <t>8000-14000</t>
  </si>
  <si>
    <t>Dahm et al. (2007), Uta et al. (2018)</t>
  </si>
  <si>
    <t>Wysin Site (Well 3H)</t>
  </si>
  <si>
    <t>77 earthquakes detected overall for the two wells</t>
  </si>
  <si>
    <t>López Comino et al. (2018)</t>
  </si>
  <si>
    <t>Wysin Site (Well 2H)</t>
  </si>
  <si>
    <t>Evans et al. (2012), Braun et al. (2018)</t>
  </si>
  <si>
    <t>Baisch et al. (2015), Geoscience Australia Earthquake database</t>
  </si>
  <si>
    <t>2003 (Early Nov)</t>
  </si>
  <si>
    <t>Habanero 1 well. The Geoscience Australia Earthquakes database says M 3.7 event occurred on 06/12/2003 at a depth of 7 km. Caffagni says two M3.7 earthquakes occurred, first one during a shut-in phase and second during a progressive increase in injection rate</t>
  </si>
  <si>
    <t>Asanuma et al. (2005), Baisch et al. (2006), Majer et al. (2007), Caffagni et al. (2018) Geoscience Australia Earthquake database</t>
  </si>
  <si>
    <t>Geothermal (injection and production)</t>
  </si>
  <si>
    <t>&gt;800</t>
  </si>
  <si>
    <t>3800-4200</t>
  </si>
  <si>
    <t>Initially geothermal project but then also natural gas tested</t>
  </si>
  <si>
    <t>Baisch et al. (2009), Geoscience Australia Earthquake database</t>
  </si>
  <si>
    <t>Cooper Basin (Habanero 3)</t>
  </si>
  <si>
    <t>Habanero 3 well</t>
  </si>
  <si>
    <t>Caffagni et al. (2018)</t>
  </si>
  <si>
    <t>Baisch et al. (2015), Caffagni et al. (2018)</t>
  </si>
  <si>
    <t>Oxy Geismar Cavern, Napoleon salt dome, Assumption Parish, Louisiana</t>
  </si>
  <si>
    <t>300-500</t>
  </si>
  <si>
    <t>Nayak and Dreger (2014)</t>
  </si>
  <si>
    <t>Mining (controlled collapse)</t>
  </si>
  <si>
    <t>Field II, Ocnele Mari</t>
  </si>
  <si>
    <t>Trifu and Shumila (2010)</t>
  </si>
  <si>
    <t>Ridgeway Deep block cave mine</t>
  </si>
  <si>
    <t>Šílený et al. (2013)</t>
  </si>
  <si>
    <t>Raibl mine, Cave del Predil</t>
  </si>
  <si>
    <t>5000 kt, cavity collapse event</t>
  </si>
  <si>
    <t>Atrisco, Nevada</t>
  </si>
  <si>
    <t>20-150 kt, cavity collapse event</t>
  </si>
  <si>
    <t>Ford et al. (2009), http://nuclearweaponarchive.org/Usa/Tests/Nevada.html</t>
  </si>
  <si>
    <t>1000 kt, cavity collapse event</t>
  </si>
  <si>
    <t>Milan, Summer County, Kansas</t>
  </si>
  <si>
    <t>Harper County, Kansas</t>
  </si>
  <si>
    <t>2400-7300</t>
  </si>
  <si>
    <t>1350-1700</t>
  </si>
  <si>
    <t>Largest earthquake is from Zone 1</t>
  </si>
  <si>
    <t>Rubinstein et al. (2018)</t>
  </si>
  <si>
    <t>Campotosto</t>
  </si>
  <si>
    <t>Mucciarelli (2013), Braun et al. (2018)</t>
  </si>
  <si>
    <t>Montedoglio</t>
  </si>
  <si>
    <t>Braun et al. (2018)</t>
  </si>
  <si>
    <t>Poseidon Norte gas field</t>
  </si>
  <si>
    <t>Pérez-López and Giner-Robles (2018)</t>
  </si>
  <si>
    <t>90 people injured, damage cost estimated at US$52 million</t>
  </si>
  <si>
    <t>Zofiowka coal mine, Jastrzebie-Zdroj</t>
  </si>
  <si>
    <t>San Nicolás (Mieres) and Montsacro (Morcín – Riosa) mines</t>
  </si>
  <si>
    <t>González-Cortina et al. (2008)</t>
  </si>
  <si>
    <t xml:space="preserve">125-375 kt, cavity collapse event but earthquake swarm triggered ~8.4 km north of test site </t>
  </si>
  <si>
    <t>Not considered to be inudced by surface water reservoir by Rogers et al. (1980) and Lamontagne (2018)</t>
  </si>
  <si>
    <t>1975 (August)</t>
  </si>
  <si>
    <t>1975 (December)</t>
  </si>
  <si>
    <t>Gupta (2002), Leblanc and Anglin (1978), Lamontagne et al. (2018)</t>
  </si>
  <si>
    <t>1981 (April)</t>
  </si>
  <si>
    <t>Anglin and Buchbinder (1985), Gupta (2002), Klose (2013), Lamontagne et al. (2018)</t>
  </si>
  <si>
    <t>Manicouagan 2, Quebec</t>
  </si>
  <si>
    <t>1965 (April)</t>
  </si>
  <si>
    <t>1965 (July)</t>
  </si>
  <si>
    <t>Leblanc and Anglin (1978), Lamontagne et al. (2018)</t>
  </si>
  <si>
    <t>RO 2</t>
  </si>
  <si>
    <t>Lamontagne et al. (2018)</t>
  </si>
  <si>
    <t>SM 3, Quebec</t>
  </si>
  <si>
    <t>1998 (April)</t>
  </si>
  <si>
    <t>1999 (September)</t>
  </si>
  <si>
    <t>Lamontagne et al. (2006), Lamontagne et al. (2018)</t>
  </si>
  <si>
    <t>Lamontagne et al. (2008), Lamontagne et al. (2018)</t>
  </si>
  <si>
    <t>RO 3</t>
  </si>
  <si>
    <t>2017 (May)</t>
  </si>
  <si>
    <t>2017 (June)</t>
  </si>
  <si>
    <t>LG 2, Quebec</t>
  </si>
  <si>
    <t>1978 (November)</t>
  </si>
  <si>
    <t>1979 (September)</t>
  </si>
  <si>
    <t>Buchbinder et al. (1981), Lamontagne et al. (2006), Lamontagne et al. (2018)</t>
  </si>
  <si>
    <t>Neftegorsk earthquake</t>
  </si>
  <si>
    <t>1000000-3000000</t>
  </si>
  <si>
    <t>tons/year</t>
  </si>
  <si>
    <t>&gt;100000000</t>
  </si>
  <si>
    <t>tons</t>
  </si>
  <si>
    <t>Adushkin (2016)</t>
  </si>
  <si>
    <t>Panhandle field</t>
  </si>
  <si>
    <t>47694754 (oil extracted), 212376349440 (gas extracted)</t>
  </si>
  <si>
    <t>Rotenberg/Neuenkirchen and Söhlingen field (Rotenberg earthquake)</t>
  </si>
  <si>
    <t>Soltau field</t>
  </si>
  <si>
    <t>2000000000 (extracted)</t>
  </si>
  <si>
    <t>Galybin et al. (1998), Turuntaev (1994), Adushkin (2016)</t>
  </si>
  <si>
    <t>Syke (Bassum, Niedersachsen) field</t>
  </si>
  <si>
    <t>Klosterseelte field</t>
  </si>
  <si>
    <t>Bischoff et al. (2017)</t>
  </si>
  <si>
    <t>Tengiz field</t>
  </si>
  <si>
    <t>Mikhailova et al. (2015), Sokolova et al. (2017)</t>
  </si>
  <si>
    <t>Langwedel field</t>
  </si>
  <si>
    <t>Zhanazhol field</t>
  </si>
  <si>
    <t>Sokolova et al. (2017)</t>
  </si>
  <si>
    <t>Verden field</t>
  </si>
  <si>
    <t>Walsrode field</t>
  </si>
  <si>
    <t>Kirby Misperton field</t>
  </si>
  <si>
    <t>1995 (March)</t>
  </si>
  <si>
    <t>BGS (personal communication, 2018)</t>
  </si>
  <si>
    <t>Goldenstedt field</t>
  </si>
  <si>
    <t>Hemmelte field</t>
  </si>
  <si>
    <t>Dethlingen field</t>
  </si>
  <si>
    <t>Barrien field</t>
  </si>
  <si>
    <t>Burgmoor field</t>
  </si>
  <si>
    <t>Husum field</t>
  </si>
  <si>
    <t>16 km SW Fort St. John</t>
  </si>
  <si>
    <t>Texas (Cluster C)</t>
  </si>
  <si>
    <t>MLadj</t>
  </si>
  <si>
    <t xml:space="preserve">Spatial and temporal correlation exists, plausible that these earthquakes were triggered by fracking </t>
  </si>
  <si>
    <t>Walter et al. (2018)</t>
  </si>
  <si>
    <t>Tony Creek dual Microseismic Experiment (ToC2ME), Fox Creek, Alberta</t>
  </si>
  <si>
    <t>Eaton et al. (2018)</t>
  </si>
  <si>
    <t>Preston New Road</t>
  </si>
  <si>
    <t>&lt;5</t>
  </si>
  <si>
    <t>Evans et al. (2012), Flóvenz et al. (2015)</t>
  </si>
  <si>
    <t>Flóvenz et al. (2015), Juncu et al. (2017)</t>
  </si>
  <si>
    <t>4000-5000</t>
  </si>
  <si>
    <t>600-1200</t>
  </si>
  <si>
    <t>Nesjavellir</t>
  </si>
  <si>
    <t>400-550</t>
  </si>
  <si>
    <t>Flóvenz et al. (2015)</t>
  </si>
  <si>
    <t>Geothermal (extraction and reinjection)</t>
  </si>
  <si>
    <t>2006 (May) (extraction), 2009 (reinjection)</t>
  </si>
  <si>
    <t>45-79</t>
  </si>
  <si>
    <t>Volume for 2005-2008. Annual average injection.</t>
  </si>
  <si>
    <t>Lithuania</t>
  </si>
  <si>
    <t>Curonian Lagoon</t>
  </si>
  <si>
    <t>Nikulin and Assinovskaya (2018)</t>
  </si>
  <si>
    <t>Geothermal (drilling and stimulation)</t>
  </si>
  <si>
    <t>0-630</t>
  </si>
  <si>
    <t>Extraction rate from http://www.freeportinarizona.com/our-company/az-operations/morenci/</t>
  </si>
  <si>
    <t>Gonzalez-Huizar and Liu (2017)</t>
  </si>
  <si>
    <t>Zhezkazgan Deposit (Zlatoyust-Belovskiy Quarry)</t>
  </si>
  <si>
    <t>German (2014), Sokolova et al. (2017)</t>
  </si>
  <si>
    <t>Rosvumchorr mine</t>
  </si>
  <si>
    <t>Kachkanar earthquake</t>
  </si>
  <si>
    <t>Mining (groundwater rebound)</t>
  </si>
  <si>
    <t>Voerendaal-Kunrade</t>
  </si>
  <si>
    <t>Tentatively suggested as induced swarms</t>
  </si>
  <si>
    <t>Slob et al. (2016)</t>
  </si>
  <si>
    <t>Mining (rock bursts and flooding)</t>
  </si>
  <si>
    <t>Vorkutinskoe earthquake</t>
  </si>
  <si>
    <t>Seismicity only monitored from 1996. Large earthquake in 1995 but magnitude unknown.</t>
  </si>
  <si>
    <t>Stepnyak</t>
  </si>
  <si>
    <t>mpv</t>
  </si>
  <si>
    <t>Montfort</t>
  </si>
  <si>
    <t>Limestone</t>
  </si>
  <si>
    <t>Van Den Eeckhaut et al. (2007)</t>
  </si>
  <si>
    <t>Collapse event following nuclear detonation</t>
  </si>
  <si>
    <t>6th nuclear test (DPRK-6)</t>
  </si>
  <si>
    <t>8.5 minutes to collapse event</t>
  </si>
  <si>
    <t>Liu et al. (2018), Tian et al. (2018), Yao et al. (2018), Paul Richards (personal communication, 2017, richards@LDEO.columbia.edu), https://earthquake.usgs.gov/earthquakes/eventpage/us2000aetk#executive</t>
  </si>
  <si>
    <t>3rd nuclear test (DPRK-3)</t>
  </si>
  <si>
    <t>Dodge (2018)</t>
  </si>
  <si>
    <t>4th nuclear test (DPRK-4)</t>
  </si>
  <si>
    <t>5th nuclear test (DPRK-5)</t>
  </si>
  <si>
    <t>Cavity and tunnel collapses</t>
  </si>
  <si>
    <t>Degelen site of Semipalatinsk Test Site</t>
  </si>
  <si>
    <t>Mikhailova et al. (2017), Sokolova et al. (2017)</t>
  </si>
  <si>
    <t>Anadarko Basin (Cluster A)</t>
  </si>
  <si>
    <t>Oklahoma-Texas Border (Cluster B)</t>
  </si>
  <si>
    <t>8 earthquakes preceeded the increase in disposal volumes. Plausible that waste fluid disposal promoted ongoing seismic activity of natural or tectonic origins</t>
  </si>
  <si>
    <t>Oklahoma Panhandle (Cluster E)</t>
  </si>
  <si>
    <t>Mixed evidence but 3 injection wells within 5 km and lcuster occurs after increased rate of injection</t>
  </si>
  <si>
    <t>Stiros and Pytharouli (2018) argue for a natural origin for the larger magnitude events</t>
  </si>
  <si>
    <t>Gupta (2002), Klose (2013), Grasso et al. (2018)</t>
  </si>
  <si>
    <t>Gupta (2002), Grünthal (2014), Grasso et al. (2018)</t>
  </si>
  <si>
    <t>1993-1994</t>
  </si>
  <si>
    <t>2014 (July)</t>
  </si>
  <si>
    <t>120 with 2.8&lt;MD&lt;4.5</t>
  </si>
  <si>
    <t>Montalvo-Arrieta et al. (2018)</t>
  </si>
  <si>
    <t>M 5.2 on 21 July 2011 is considered to be natural by Gupta (2018)</t>
  </si>
  <si>
    <t>Gupta (2002), Gupta (2018)</t>
  </si>
  <si>
    <t>1973 (April) and 1973 (September)</t>
  </si>
  <si>
    <t>40 and 45</t>
  </si>
  <si>
    <t>1460000000 and 2300000000</t>
  </si>
  <si>
    <t>Guha and Patil (1990), Gupta (2002), Barros et al. (2018)</t>
  </si>
  <si>
    <t>Lake Meredith</t>
  </si>
  <si>
    <t>1965 (January)</t>
  </si>
  <si>
    <t>Schurbet (1969)</t>
  </si>
  <si>
    <t>Chimpliganond et al. (2007b), Gupta (2002), Barros et al. (2018)</t>
  </si>
  <si>
    <t>Assumpção et al. (2002), Gupta (2002), Barros et al. (2018)</t>
  </si>
  <si>
    <t>Gupta (2002), Barros et al. (2018)</t>
  </si>
  <si>
    <t>Assumpção et al. (2002), Barros et al. (2018)</t>
  </si>
  <si>
    <t>Guha and Patil (1990), Grasso et al. (2018)</t>
  </si>
  <si>
    <t>Caramany</t>
  </si>
  <si>
    <t>Grasso et al. (2018)</t>
  </si>
  <si>
    <t>Funil</t>
  </si>
  <si>
    <t>Barros et al. (2018)</t>
  </si>
  <si>
    <t>Jirau</t>
  </si>
  <si>
    <t>Capivari-Cachoeira</t>
  </si>
  <si>
    <t>1970 (July)</t>
  </si>
  <si>
    <t>1974 and 1976</t>
  </si>
  <si>
    <t>98 and 104</t>
  </si>
  <si>
    <t xml:space="preserve">Matos et al. (2010), Chimpliganond et al. (2007a), Barros et al. (2018) </t>
  </si>
  <si>
    <t>Barra Grande</t>
  </si>
  <si>
    <t>Ferreira et al. (2008), Barros et al. (2018)</t>
  </si>
  <si>
    <t>1981 (August)</t>
  </si>
  <si>
    <t>Machadinho</t>
  </si>
  <si>
    <t>Campos Novos</t>
  </si>
  <si>
    <t>Itapebi</t>
  </si>
  <si>
    <t>Guha (2000), Guha and Patil (1990), NRC (2013), Grasso et al. (2018)</t>
  </si>
  <si>
    <t>Furnas</t>
  </si>
  <si>
    <t>Tehri</t>
  </si>
  <si>
    <t>2005 (Decemeber)</t>
  </si>
  <si>
    <t>2 months</t>
  </si>
  <si>
    <t>Gahalaut et al. (2018)</t>
  </si>
  <si>
    <t>Chemical explosion</t>
  </si>
  <si>
    <t>Seismicity/faulting following chemical explosion(s)</t>
  </si>
  <si>
    <t>Tbilisi region</t>
  </si>
  <si>
    <t>Albano et al. (2017), Gardonio et al. (2018), Kolawole et al. (2017) provide evidence for a natural origin</t>
  </si>
  <si>
    <t>Torrance oil field, California</t>
  </si>
  <si>
    <t>Likely triggered by the 22 October 1941 foreshock at Dominguez oil field</t>
  </si>
  <si>
    <t>Hough and Bilham (2018)</t>
  </si>
  <si>
    <t>Dominguez oil field, California</t>
  </si>
  <si>
    <t>1100-2300</t>
  </si>
  <si>
    <t xml:space="preserve">Post-extraction crust relaxation </t>
  </si>
  <si>
    <t>Aochi and Burnol (2018)</t>
  </si>
  <si>
    <t>Oil extraction (pressure bleed off)</t>
  </si>
  <si>
    <t>03/07/2018 (flow test), 17/08/2018 (perforation)</t>
  </si>
  <si>
    <t>Haszeldine and Cavanagh (2018), Cavanagh et al. (2019a), Cavanagh et al. (2019b)</t>
  </si>
  <si>
    <t>N201-H24 well pad, Changning shale gas block, Xingwen County, Sichuan Province</t>
  </si>
  <si>
    <t>2018 (October)</t>
  </si>
  <si>
    <t>N201-H18 well pad, Changning shale gas block, Xingwen County, Sichuan Province</t>
  </si>
  <si>
    <t>2018 (November)</t>
  </si>
  <si>
    <t>H7 well pad, Shangluo site, Zhaotong field</t>
  </si>
  <si>
    <t>&gt;3000</t>
  </si>
  <si>
    <t>2200-2300</t>
  </si>
  <si>
    <t>612000-816000</t>
  </si>
  <si>
    <t>Cumulative injection volume for all 32 horizontal wells at the eight nearby well pads</t>
  </si>
  <si>
    <t>OTN3 well, St1 Geothermal Project, Otaniemi, Espoo</t>
  </si>
  <si>
    <t>2018 (June)</t>
  </si>
  <si>
    <t>2018 (July)</t>
  </si>
  <si>
    <t>&gt;43000, -1.2≤ML≤1.9</t>
  </si>
  <si>
    <t>Kwiatek et al. (2018)</t>
  </si>
  <si>
    <t>Taeyoung EMC, Geummae-ri, Wonnam-myeon, Uljin-gun, Gyeongsangbuk-do</t>
  </si>
  <si>
    <t>Che et al. (2018)</t>
  </si>
  <si>
    <t>Taeyoung EMC, Gangwon-do, Samcheok city, Gangwon province</t>
  </si>
  <si>
    <t>Sangan mine</t>
  </si>
  <si>
    <t>140, 1.4≤M≤4.1</t>
  </si>
  <si>
    <t>Mansouri Daneshvar et al. (2018)</t>
  </si>
  <si>
    <t>Pingyi County, Shandong Province</t>
  </si>
  <si>
    <t>Collapse event with M 2.8 also occurred on 28th August 2017</t>
  </si>
  <si>
    <t>0.06 (modelled)</t>
  </si>
  <si>
    <t>Choy et al. (2016), Hearn et al. (2018)</t>
  </si>
  <si>
    <t>Costa Rica</t>
  </si>
  <si>
    <t>Pirrís Reservoir</t>
  </si>
  <si>
    <t>6000-18000</t>
  </si>
  <si>
    <t>Ruiz-Barajas et al. (2019)</t>
  </si>
  <si>
    <t>Horse Hill 1 (Newdigate earthquake sequence)</t>
  </si>
  <si>
    <r>
      <t>Area (km</t>
    </r>
    <r>
      <rPr>
        <b/>
        <vertAlign val="superscript"/>
        <sz val="11"/>
        <color theme="1"/>
        <rFont val="Calibri"/>
        <family val="2"/>
        <scheme val="minor"/>
      </rPr>
      <t>2</t>
    </r>
    <r>
      <rPr>
        <b/>
        <sz val="11"/>
        <color theme="1"/>
        <rFont val="Calibri"/>
        <family val="2"/>
        <scheme val="minor"/>
      </rPr>
      <t>)</t>
    </r>
  </si>
  <si>
    <r>
      <t>Bottom hole temperature (</t>
    </r>
    <r>
      <rPr>
        <b/>
        <sz val="11"/>
        <color theme="1"/>
        <rFont val="Calibri"/>
        <family val="2"/>
      </rPr>
      <t>°C)</t>
    </r>
  </si>
  <si>
    <r>
      <t>1002, 0</t>
    </r>
    <r>
      <rPr>
        <sz val="11"/>
        <color theme="1"/>
        <rFont val="Calibri"/>
        <family val="2"/>
      </rPr>
      <t>≤MLG≤4 (05/09/2013-15/10/2013)</t>
    </r>
  </si>
  <si>
    <r>
      <t>Gestermann et al. (2015), Gr</t>
    </r>
    <r>
      <rPr>
        <sz val="11"/>
        <color theme="1"/>
        <rFont val="Calibri"/>
        <family val="2"/>
      </rPr>
      <t>ünthal (2014)</t>
    </r>
  </si>
  <si>
    <r>
      <t>4, 3</t>
    </r>
    <r>
      <rPr>
        <sz val="11"/>
        <color theme="1"/>
        <rFont val="Calibri"/>
        <family val="2"/>
      </rPr>
      <t>≤ML≤3.5</t>
    </r>
  </si>
  <si>
    <r>
      <t xml:space="preserve">First observed seismicity </t>
    </r>
    <r>
      <rPr>
        <sz val="11"/>
        <color theme="1"/>
        <rFont val="Calibri"/>
        <family val="2"/>
      </rPr>
      <t>≥</t>
    </r>
    <r>
      <rPr>
        <sz val="11"/>
        <color theme="1"/>
        <rFont val="Calibri"/>
        <family val="2"/>
        <scheme val="minor"/>
      </rPr>
      <t>2ML</t>
    </r>
  </si>
  <si>
    <r>
      <t>36, 1</t>
    </r>
    <r>
      <rPr>
        <sz val="11"/>
        <color theme="1"/>
        <rFont val="Calibri"/>
        <family val="2"/>
      </rPr>
      <t>≤ML≤3.4</t>
    </r>
  </si>
  <si>
    <r>
      <t>V</t>
    </r>
    <r>
      <rPr>
        <sz val="11"/>
        <color theme="1"/>
        <rFont val="Calibri"/>
        <family val="2"/>
      </rPr>
      <t>ö</t>
    </r>
    <r>
      <rPr>
        <sz val="11"/>
        <color theme="1"/>
        <rFont val="Calibri"/>
        <family val="2"/>
        <scheme val="minor"/>
      </rPr>
      <t>lkersen field</t>
    </r>
  </si>
  <si>
    <r>
      <t>17 with 0.5</t>
    </r>
    <r>
      <rPr>
        <sz val="11"/>
        <color theme="1"/>
        <rFont val="Calibri"/>
        <family val="2"/>
      </rPr>
      <t>≤ML≤3.1</t>
    </r>
  </si>
  <si>
    <r>
      <t>Ottem</t>
    </r>
    <r>
      <rPr>
        <sz val="11"/>
        <color theme="1"/>
        <rFont val="Calibri"/>
        <family val="2"/>
      </rPr>
      <t>ö</t>
    </r>
    <r>
      <rPr>
        <sz val="11"/>
        <color theme="1"/>
        <rFont val="Calibri"/>
        <family val="2"/>
        <scheme val="minor"/>
      </rPr>
      <t>ller et al. (2005)</t>
    </r>
  </si>
  <si>
    <r>
      <t>Visselh</t>
    </r>
    <r>
      <rPr>
        <sz val="11"/>
        <color theme="1"/>
        <rFont val="Calibri"/>
        <family val="2"/>
      </rPr>
      <t>övede field</t>
    </r>
  </si>
  <si>
    <r>
      <t>20, 0.12</t>
    </r>
    <r>
      <rPr>
        <sz val="11"/>
        <color theme="1"/>
        <rFont val="Calibri"/>
        <family val="2"/>
      </rPr>
      <t>≤MD≤2</t>
    </r>
    <r>
      <rPr>
        <sz val="8.8000000000000007"/>
        <color theme="1"/>
        <rFont val="Calibri"/>
        <family val="2"/>
      </rPr>
      <t xml:space="preserve"> </t>
    </r>
  </si>
  <si>
    <r>
      <t>P</t>
    </r>
    <r>
      <rPr>
        <sz val="11"/>
        <color theme="1"/>
        <rFont val="Calibri"/>
        <family val="2"/>
      </rPr>
      <t>ří</t>
    </r>
    <r>
      <rPr>
        <sz val="11"/>
        <color theme="1"/>
        <rFont val="Calibri"/>
        <family val="2"/>
        <scheme val="minor"/>
      </rPr>
      <t>bram (H</t>
    </r>
    <r>
      <rPr>
        <sz val="11"/>
        <color theme="1"/>
        <rFont val="Calibri"/>
        <family val="2"/>
      </rPr>
      <t>á</t>
    </r>
    <r>
      <rPr>
        <sz val="11"/>
        <color theme="1"/>
        <rFont val="Calibri"/>
        <family val="2"/>
        <scheme val="minor"/>
      </rPr>
      <t>je)</t>
    </r>
  </si>
  <si>
    <r>
      <t>Zedn</t>
    </r>
    <r>
      <rPr>
        <sz val="11"/>
        <color theme="1"/>
        <rFont val="Calibri"/>
        <family val="2"/>
      </rPr>
      <t>í</t>
    </r>
    <r>
      <rPr>
        <sz val="11"/>
        <color theme="1"/>
        <rFont val="Calibri"/>
        <family val="2"/>
        <scheme val="minor"/>
      </rPr>
      <t>k et al. (2001)</t>
    </r>
  </si>
  <si>
    <r>
      <rPr>
        <sz val="11"/>
        <color theme="1"/>
        <rFont val="Calibri"/>
        <family val="2"/>
      </rPr>
      <t>~</t>
    </r>
    <r>
      <rPr>
        <sz val="11"/>
        <color theme="1"/>
        <rFont val="Calibri"/>
        <family val="2"/>
        <scheme val="minor"/>
      </rPr>
      <t>192</t>
    </r>
  </si>
  <si>
    <r>
      <t>M</t>
    </r>
    <r>
      <rPr>
        <sz val="11"/>
        <color theme="1"/>
        <rFont val="Calibri"/>
        <family val="2"/>
      </rPr>
      <t>≥5 within 500 and 1000 km radii of bombing site</t>
    </r>
  </si>
  <si>
    <r>
      <t>15000, ML</t>
    </r>
    <r>
      <rPr>
        <sz val="11"/>
        <color theme="1"/>
        <rFont val="Calibri"/>
        <family val="2"/>
      </rPr>
      <t>≥1.1</t>
    </r>
  </si>
  <si>
    <r>
      <t>"normal injection rate". Year of M</t>
    </r>
    <r>
      <rPr>
        <vertAlign val="subscript"/>
        <sz val="11"/>
        <color theme="1"/>
        <rFont val="Calibri"/>
        <family val="2"/>
        <scheme val="minor"/>
      </rPr>
      <t>W</t>
    </r>
    <r>
      <rPr>
        <sz val="11"/>
        <color theme="1"/>
        <rFont val="Calibri"/>
        <family val="2"/>
        <scheme val="minor"/>
      </rPr>
      <t xml:space="preserve"> 3.9 event in Schlutz et al. (2015) is wrong.</t>
    </r>
  </si>
  <si>
    <t>Wolf 2H well, Noble County, Ohio</t>
  </si>
  <si>
    <t>Brudzinski et al. (2019)</t>
  </si>
  <si>
    <t>Love County region, Oklahoma</t>
  </si>
  <si>
    <t>Locations, magnitudes and years extracted from maps where possible</t>
  </si>
  <si>
    <t>Skoumal et al. (2018b)</t>
  </si>
  <si>
    <t>Coal County region, Oklahoma</t>
  </si>
  <si>
    <t>Blaine County region, Oklahoma</t>
  </si>
  <si>
    <t>Kay County region, Oklahoma</t>
  </si>
  <si>
    <t>Major County region, Oklahoma</t>
  </si>
  <si>
    <t>Donato well, Monroe County, Ohio</t>
  </si>
  <si>
    <t>2016 (December)</t>
  </si>
  <si>
    <t>Skoumal et al. (2015a), Brudzinski et al. (2019)</t>
  </si>
  <si>
    <t>North Grady County region, Oklahoma</t>
  </si>
  <si>
    <t>Woodward County region, Oklahoma</t>
  </si>
  <si>
    <t>Pittsburgh County region, Oklahoma</t>
  </si>
  <si>
    <t>McClain County region, Oklahoma</t>
  </si>
  <si>
    <t>Kingfisher County region, Oklahoma</t>
  </si>
  <si>
    <t>North Canadian County region, Oklahoma</t>
  </si>
  <si>
    <t>South Canadian County region, Oklahoma</t>
  </si>
  <si>
    <t>Marshall County region, Oklahoma</t>
  </si>
  <si>
    <t>North Stephens County region, Oklahoma</t>
  </si>
  <si>
    <t>Gilmer County, West Virginia</t>
  </si>
  <si>
    <t>Skoumal et al. (2018a)</t>
  </si>
  <si>
    <t>Conotton well, Harrison County, Ohio</t>
  </si>
  <si>
    <t>2016 (November)</t>
  </si>
  <si>
    <t>Friberg et al. (2018)</t>
  </si>
  <si>
    <t>South Grady County region, Oklahoma</t>
  </si>
  <si>
    <t>Carter County region, Oklahoma</t>
  </si>
  <si>
    <t>Kirkwood A wells, Belmont County, Ohio</t>
  </si>
  <si>
    <t>Skoumal et al. (2015b)</t>
  </si>
  <si>
    <t>Hamilton well, Harrison County, Ohio</t>
  </si>
  <si>
    <t>3200-3700</t>
  </si>
  <si>
    <t>Kozlowska et al. (2018)</t>
  </si>
  <si>
    <t>Southern Stephens County region, Oklahoma</t>
  </si>
  <si>
    <t>Garvin County region, Oklahoma</t>
  </si>
  <si>
    <t>Wheeler well, Guernsey County, Ohio</t>
  </si>
  <si>
    <t>2016 (August)</t>
  </si>
  <si>
    <t>Ryser well, Harrison County, Ohio</t>
  </si>
  <si>
    <t>Friberg et al. (2014), Kozlowska et al. (2018)</t>
  </si>
  <si>
    <t>Edinburg (North Beaver Township), Pennsylvania</t>
  </si>
  <si>
    <t>2016 (April)</t>
  </si>
  <si>
    <t>http://www.post-gazette.com/powersource/companies-powersource/2016/04/29/State-studying-link-between-fracking-and-Lawrence-County-earthquakes/stories/201604290099, Brudzinski et al. (2019)</t>
  </si>
  <si>
    <t>Tarbert well, Harrison County, Ohio</t>
  </si>
  <si>
    <t>2700-3000</t>
  </si>
  <si>
    <t>Davidson well, Harrison County, Ohio</t>
  </si>
  <si>
    <t>3200-3500</t>
  </si>
  <si>
    <t>Vozar well, Harrison County, Ohio</t>
  </si>
  <si>
    <t>2700-2800</t>
  </si>
  <si>
    <r>
      <t>994, -1.9</t>
    </r>
    <r>
      <rPr>
        <sz val="11"/>
        <color theme="1"/>
        <rFont val="Calibri"/>
        <family val="2"/>
      </rPr>
      <t>≤MW≤-0.2</t>
    </r>
  </si>
  <si>
    <t>Hughes County region, Oklahoma</t>
  </si>
  <si>
    <r>
      <t>Laugaland (Holtum) and Kald</t>
    </r>
    <r>
      <rPr>
        <sz val="11"/>
        <color theme="1"/>
        <rFont val="Calibri"/>
        <family val="2"/>
      </rPr>
      <t>á</t>
    </r>
    <r>
      <rPr>
        <sz val="11"/>
        <color theme="1"/>
        <rFont val="Calibri"/>
        <family val="2"/>
        <scheme val="minor"/>
      </rPr>
      <t>rholt</t>
    </r>
  </si>
  <si>
    <r>
      <t>1982 (production), 2000 (January) production in Kald</t>
    </r>
    <r>
      <rPr>
        <sz val="11"/>
        <color theme="1"/>
        <rFont val="Calibri"/>
        <family val="2"/>
      </rPr>
      <t>á</t>
    </r>
    <r>
      <rPr>
        <sz val="11"/>
        <color theme="1"/>
        <rFont val="Calibri"/>
        <family val="2"/>
        <scheme val="minor"/>
      </rPr>
      <t>rholt, injection from Kald</t>
    </r>
    <r>
      <rPr>
        <sz val="11"/>
        <color theme="1"/>
        <rFont val="Calibri"/>
        <family val="2"/>
      </rPr>
      <t>á</t>
    </r>
    <r>
      <rPr>
        <sz val="11"/>
        <color theme="1"/>
        <rFont val="Calibri"/>
        <family val="2"/>
        <scheme val="minor"/>
      </rPr>
      <t>rholt to Laugaland)</t>
    </r>
  </si>
  <si>
    <r>
      <t>Volume assuming water density of 1000 kg m</t>
    </r>
    <r>
      <rPr>
        <vertAlign val="superscript"/>
        <sz val="11"/>
        <color theme="1"/>
        <rFont val="Calibri"/>
        <family val="2"/>
        <scheme val="minor"/>
      </rPr>
      <t>-3</t>
    </r>
    <r>
      <rPr>
        <sz val="11"/>
        <color theme="1"/>
        <rFont val="Calibri"/>
        <family val="2"/>
        <scheme val="minor"/>
      </rPr>
      <t>. Rate is for field scale.</t>
    </r>
  </si>
  <si>
    <r>
      <t>Vapour dominated. Up to 2005 about 120 billion pounds had been injected. Mass to volume using water desnity of 1000 kg m</t>
    </r>
    <r>
      <rPr>
        <vertAlign val="superscript"/>
        <sz val="11"/>
        <color theme="1"/>
        <rFont val="Calibri"/>
        <family val="2"/>
        <scheme val="minor"/>
      </rPr>
      <t>-3</t>
    </r>
    <r>
      <rPr>
        <sz val="11"/>
        <color theme="1"/>
        <rFont val="Calibri"/>
        <family val="2"/>
        <scheme val="minor"/>
      </rPr>
      <t>. Rate is for field scale.</t>
    </r>
  </si>
  <si>
    <r>
      <t>Berl</t>
    </r>
    <r>
      <rPr>
        <sz val="11"/>
        <color theme="1"/>
        <rFont val="Calibri"/>
        <family val="2"/>
      </rPr>
      <t>í</t>
    </r>
    <r>
      <rPr>
        <sz val="11"/>
        <color theme="1"/>
        <rFont val="Calibri"/>
        <family val="2"/>
        <scheme val="minor"/>
      </rPr>
      <t>n (Well TR8A)</t>
    </r>
  </si>
  <si>
    <r>
      <t>Hellishei</t>
    </r>
    <r>
      <rPr>
        <sz val="11"/>
        <color theme="1"/>
        <rFont val="Calibri"/>
        <family val="2"/>
      </rPr>
      <t>ði</t>
    </r>
    <r>
      <rPr>
        <sz val="7.7"/>
        <color theme="1"/>
        <rFont val="Calibri"/>
        <family val="2"/>
      </rPr>
      <t xml:space="preserve"> </t>
    </r>
    <r>
      <rPr>
        <sz val="11"/>
        <color theme="1"/>
        <rFont val="Calibri"/>
        <family val="2"/>
      </rPr>
      <t>(Húsmúli reinjection site)</t>
    </r>
  </si>
  <si>
    <r>
      <t>Assuming a water density of 1000 kg m</t>
    </r>
    <r>
      <rPr>
        <vertAlign val="superscript"/>
        <sz val="11"/>
        <color theme="1"/>
        <rFont val="Calibri"/>
        <family val="2"/>
        <scheme val="minor"/>
      </rPr>
      <t>-3</t>
    </r>
  </si>
  <si>
    <r>
      <t>Keiding et al. (2010), Fl</t>
    </r>
    <r>
      <rPr>
        <sz val="11"/>
        <color theme="1"/>
        <rFont val="Calibri"/>
        <family val="2"/>
      </rPr>
      <t>óvenz et al. (2015)</t>
    </r>
  </si>
  <si>
    <r>
      <t>Hellishei</t>
    </r>
    <r>
      <rPr>
        <sz val="11"/>
        <color theme="1"/>
        <rFont val="Calibri"/>
        <family val="2"/>
      </rPr>
      <t>ði (Well HE-8)</t>
    </r>
  </si>
  <si>
    <r>
      <t>Hellishei</t>
    </r>
    <r>
      <rPr>
        <sz val="11"/>
        <color theme="1"/>
        <rFont val="Calibri"/>
        <family val="2"/>
      </rPr>
      <t>ði(Gráuhnjúkar reinjection site)</t>
    </r>
  </si>
  <si>
    <r>
      <rPr>
        <sz val="11"/>
        <color theme="1"/>
        <rFont val="Calibri"/>
        <family val="2"/>
      </rPr>
      <t>~</t>
    </r>
    <r>
      <rPr>
        <sz val="11"/>
        <color theme="1"/>
        <rFont val="Calibri"/>
        <family val="2"/>
        <scheme val="minor"/>
      </rPr>
      <t>100 microseismic events in April, GRT1 well</t>
    </r>
  </si>
  <si>
    <r>
      <t>Gro</t>
    </r>
    <r>
      <rPr>
        <sz val="11"/>
        <color theme="1"/>
        <rFont val="Calibri"/>
        <family val="2"/>
      </rPr>
      <t>ẞ</t>
    </r>
    <r>
      <rPr>
        <sz val="11"/>
        <color theme="1"/>
        <rFont val="Calibri"/>
        <family val="2"/>
        <scheme val="minor"/>
      </rPr>
      <t>-Sch</t>
    </r>
    <r>
      <rPr>
        <sz val="11"/>
        <color theme="1"/>
        <rFont val="Calibri"/>
        <family val="2"/>
      </rPr>
      <t>ö</t>
    </r>
    <r>
      <rPr>
        <sz val="11"/>
        <color theme="1"/>
        <rFont val="Calibri"/>
        <family val="2"/>
        <scheme val="minor"/>
      </rPr>
      <t>nebeck</t>
    </r>
  </si>
  <si>
    <t>Iran-Iraq border earthquake</t>
  </si>
  <si>
    <t>Kundu et al. (2019)</t>
  </si>
  <si>
    <r>
      <t>Bebedouro, Paran</t>
    </r>
    <r>
      <rPr>
        <sz val="11"/>
        <color theme="1"/>
        <rFont val="Calibri"/>
        <family val="2"/>
      </rPr>
      <t>á</t>
    </r>
    <r>
      <rPr>
        <sz val="11"/>
        <color theme="1"/>
        <rFont val="Calibri"/>
        <family val="2"/>
        <scheme val="minor"/>
      </rPr>
      <t xml:space="preserve"> Basin</t>
    </r>
  </si>
  <si>
    <r>
      <t>Ibbenb</t>
    </r>
    <r>
      <rPr>
        <sz val="11"/>
        <color theme="1"/>
        <rFont val="Calibri"/>
        <family val="2"/>
      </rPr>
      <t>üren</t>
    </r>
  </si>
  <si>
    <r>
      <t>11224, -3.4≤ML</t>
    </r>
    <r>
      <rPr>
        <sz val="11"/>
        <color theme="1"/>
        <rFont val="Calibri"/>
        <family val="2"/>
      </rPr>
      <t>≤4.4</t>
    </r>
  </si>
  <si>
    <r>
      <t>Juli</t>
    </r>
    <r>
      <rPr>
        <sz val="11"/>
        <color theme="1"/>
        <rFont val="Calibri"/>
        <family val="2"/>
      </rPr>
      <t>à et al. (2009)</t>
    </r>
  </si>
  <si>
    <r>
      <t>Reoc</t>
    </r>
    <r>
      <rPr>
        <sz val="11"/>
        <color theme="1"/>
        <rFont val="Calibri"/>
        <family val="2"/>
      </rPr>
      <t>ín mine</t>
    </r>
  </si>
  <si>
    <r>
      <t>Gonz</t>
    </r>
    <r>
      <rPr>
        <sz val="11"/>
        <color theme="1"/>
        <rFont val="Calibri"/>
        <family val="2"/>
      </rPr>
      <t>ález (2017)</t>
    </r>
  </si>
  <si>
    <r>
      <t>1000/day, -2</t>
    </r>
    <r>
      <rPr>
        <sz val="11"/>
        <color theme="1"/>
        <rFont val="Calibri"/>
        <family val="2"/>
      </rPr>
      <t>≤</t>
    </r>
    <r>
      <rPr>
        <sz val="11"/>
        <color theme="1"/>
        <rFont val="Calibri"/>
        <family val="2"/>
        <scheme val="minor"/>
      </rPr>
      <t>ML</t>
    </r>
    <r>
      <rPr>
        <sz val="11"/>
        <color theme="1"/>
        <rFont val="Calibri"/>
        <family val="2"/>
      </rPr>
      <t>≤</t>
    </r>
    <r>
      <rPr>
        <sz val="11"/>
        <color theme="1"/>
        <rFont val="Calibri"/>
        <family val="2"/>
        <scheme val="minor"/>
      </rPr>
      <t>4</t>
    </r>
  </si>
  <si>
    <r>
      <t xml:space="preserve">1915, 53 </t>
    </r>
    <r>
      <rPr>
        <sz val="11"/>
        <color theme="1"/>
        <rFont val="Calibri"/>
        <family val="2"/>
      </rPr>
      <t>≥2 ML</t>
    </r>
  </si>
  <si>
    <r>
      <t>Holub et al. (2012), Zedn</t>
    </r>
    <r>
      <rPr>
        <sz val="11"/>
        <color theme="1"/>
        <rFont val="Calibri"/>
        <family val="2"/>
      </rPr>
      <t>í</t>
    </r>
    <r>
      <rPr>
        <sz val="11"/>
        <color theme="1"/>
        <rFont val="Calibri"/>
        <family val="2"/>
        <scheme val="minor"/>
      </rPr>
      <t>k and Pazdírkoa (2014)</t>
    </r>
  </si>
  <si>
    <r>
      <t>Gr</t>
    </r>
    <r>
      <rPr>
        <sz val="11"/>
        <color theme="1"/>
        <rFont val="Calibri"/>
        <family val="2"/>
      </rPr>
      <t>ängesberg ore mine</t>
    </r>
  </si>
  <si>
    <r>
      <t>Lo Tac</t>
    </r>
    <r>
      <rPr>
        <sz val="11"/>
        <color theme="1"/>
        <rFont val="Calibri"/>
        <family val="2"/>
      </rPr>
      <t>ó</t>
    </r>
    <r>
      <rPr>
        <sz val="11"/>
        <color theme="1"/>
        <rFont val="Calibri"/>
        <family val="2"/>
        <scheme val="minor"/>
      </rPr>
      <t>n (Torre Pacheco)</t>
    </r>
  </si>
  <si>
    <r>
      <t xml:space="preserve">2012, </t>
    </r>
    <r>
      <rPr>
        <sz val="11"/>
        <color theme="1"/>
        <rFont val="Trebuchet MS"/>
        <family val="2"/>
      </rPr>
      <t>≥2ML</t>
    </r>
  </si>
  <si>
    <r>
      <t xml:space="preserve">159, </t>
    </r>
    <r>
      <rPr>
        <sz val="11"/>
        <color theme="1"/>
        <rFont val="Trebuchet MS"/>
        <family val="2"/>
      </rPr>
      <t>≥2ML</t>
    </r>
  </si>
  <si>
    <r>
      <t xml:space="preserve">24, </t>
    </r>
    <r>
      <rPr>
        <sz val="11"/>
        <color theme="1"/>
        <rFont val="Trebuchet MS"/>
        <family val="2"/>
      </rPr>
      <t>≥2ML</t>
    </r>
  </si>
  <si>
    <r>
      <t xml:space="preserve">231, </t>
    </r>
    <r>
      <rPr>
        <sz val="11"/>
        <color theme="1"/>
        <rFont val="Trebuchet MS"/>
        <family val="2"/>
      </rPr>
      <t>≥2ML</t>
    </r>
  </si>
  <si>
    <r>
      <t xml:space="preserve">13 </t>
    </r>
    <r>
      <rPr>
        <sz val="11"/>
        <color theme="1"/>
        <rFont val="Trebuchet MS"/>
        <family val="2"/>
      </rPr>
      <t>≥</t>
    </r>
    <r>
      <rPr>
        <sz val="11"/>
        <color theme="1"/>
        <rFont val="Calibri"/>
        <family val="2"/>
        <scheme val="minor"/>
      </rPr>
      <t>M3.8 (2001-2014)</t>
    </r>
  </si>
  <si>
    <r>
      <t>Swarms in 1982 and 2001, but increase in M</t>
    </r>
    <r>
      <rPr>
        <sz val="11"/>
        <color theme="1"/>
        <rFont val="Calibri"/>
        <family val="2"/>
      </rPr>
      <t>≥2.5 since injection started in April 2009</t>
    </r>
  </si>
  <si>
    <t>Braxton County, West Virginia</t>
  </si>
  <si>
    <t>Brudzinski and Kozlowska (2019)</t>
  </si>
  <si>
    <t>Long Run-1 well, Washington County, Ohio</t>
  </si>
  <si>
    <t>2008 (September)</t>
  </si>
  <si>
    <r>
      <t>319, -0.7</t>
    </r>
    <r>
      <rPr>
        <sz val="11"/>
        <color theme="1"/>
        <rFont val="Calibri"/>
        <family val="2"/>
      </rPr>
      <t>≤ML≤2.1 (May 2013-July 2015)</t>
    </r>
  </si>
  <si>
    <t>3100-4300</t>
  </si>
  <si>
    <t>2127-2174</t>
  </si>
  <si>
    <t>3-4</t>
  </si>
  <si>
    <t>Skoumal et al. (2015b), Currie et al. (2018)</t>
  </si>
  <si>
    <t>Trumbull County, Ohio</t>
  </si>
  <si>
    <t>25 hours</t>
  </si>
  <si>
    <t>Improta et al. (2015), Improta et al. (2017)</t>
  </si>
  <si>
    <r>
      <t xml:space="preserve">2825, </t>
    </r>
    <r>
      <rPr>
        <sz val="11"/>
        <color theme="1"/>
        <rFont val="Calibri"/>
        <family val="2"/>
      </rPr>
      <t>≥0.8 ML</t>
    </r>
  </si>
  <si>
    <r>
      <t>Cuchillo, Nuevo Le</t>
    </r>
    <r>
      <rPr>
        <sz val="11"/>
        <color theme="1"/>
        <rFont val="Calibri"/>
        <family val="2"/>
      </rPr>
      <t>ó</t>
    </r>
    <r>
      <rPr>
        <sz val="11"/>
        <color theme="1"/>
        <rFont val="Calibri"/>
        <family val="2"/>
        <scheme val="minor"/>
      </rPr>
      <t>n</t>
    </r>
  </si>
  <si>
    <r>
      <t>Porto Col</t>
    </r>
    <r>
      <rPr>
        <sz val="11"/>
        <color theme="1"/>
        <rFont val="Calibri"/>
        <family val="2"/>
      </rPr>
      <t>ô</t>
    </r>
    <r>
      <rPr>
        <sz val="11"/>
        <color theme="1"/>
        <rFont val="Calibri"/>
        <family val="2"/>
        <scheme val="minor"/>
      </rPr>
      <t>mbia-Volta Grande</t>
    </r>
  </si>
  <si>
    <r>
      <t>3233 (-0.6</t>
    </r>
    <r>
      <rPr>
        <sz val="11"/>
        <color theme="1"/>
        <rFont val="Calibri"/>
        <family val="2"/>
      </rPr>
      <t>≤ML≤4.2)</t>
    </r>
  </si>
  <si>
    <r>
      <t>6 events (2.7</t>
    </r>
    <r>
      <rPr>
        <sz val="11"/>
        <color theme="1"/>
        <rFont val="Calibri"/>
        <family val="2"/>
      </rPr>
      <t>≤ML≤3.7)</t>
    </r>
  </si>
  <si>
    <r>
      <t>Tucuru</t>
    </r>
    <r>
      <rPr>
        <sz val="11"/>
        <color theme="1"/>
        <rFont val="Calibri"/>
        <family val="2"/>
      </rPr>
      <t>í</t>
    </r>
  </si>
  <si>
    <r>
      <t>Gr</t>
    </r>
    <r>
      <rPr>
        <sz val="11"/>
        <color theme="1"/>
        <rFont val="Calibri"/>
        <family val="2"/>
      </rPr>
      <t>ünthal (2014)</t>
    </r>
  </si>
  <si>
    <r>
      <t>Biało</t>
    </r>
    <r>
      <rPr>
        <sz val="11"/>
        <color theme="1"/>
        <rFont val="Calibri"/>
        <family val="2"/>
      </rPr>
      <t>ń et al. (2015)</t>
    </r>
  </si>
  <si>
    <r>
      <t>A</t>
    </r>
    <r>
      <rPr>
        <sz val="11"/>
        <color theme="1"/>
        <rFont val="Calibri"/>
        <family val="2"/>
      </rPr>
      <t>ç</t>
    </r>
    <r>
      <rPr>
        <sz val="11"/>
        <color theme="1"/>
        <rFont val="Calibri"/>
        <family val="2"/>
        <scheme val="minor"/>
      </rPr>
      <t>u</t>
    </r>
  </si>
  <si>
    <r>
      <t>Irap</t>
    </r>
    <r>
      <rPr>
        <sz val="11"/>
        <color theme="1"/>
        <rFont val="Trebuchet MS"/>
        <family val="2"/>
      </rPr>
      <t>é</t>
    </r>
  </si>
  <si>
    <r>
      <t xml:space="preserve">60 </t>
    </r>
    <r>
      <rPr>
        <sz val="11"/>
        <color theme="1"/>
        <rFont val="Calibri"/>
        <family val="2"/>
      </rPr>
      <t>≤3M since 1984</t>
    </r>
  </si>
  <si>
    <r>
      <t>It</t>
    </r>
    <r>
      <rPr>
        <sz val="11"/>
        <color theme="1"/>
        <rFont val="Calibri"/>
        <family val="2"/>
      </rPr>
      <t>á</t>
    </r>
  </si>
  <si>
    <r>
      <t>Emborca</t>
    </r>
    <r>
      <rPr>
        <sz val="11"/>
        <color theme="1"/>
        <rFont val="Calibri"/>
        <family val="2"/>
      </rPr>
      <t>çã</t>
    </r>
    <r>
      <rPr>
        <sz val="11"/>
        <color theme="1"/>
        <rFont val="Calibri"/>
        <family val="2"/>
        <scheme val="minor"/>
      </rPr>
      <t>o</t>
    </r>
  </si>
  <si>
    <r>
      <t>Xing</t>
    </r>
    <r>
      <rPr>
        <sz val="11"/>
        <color theme="1"/>
        <rFont val="Calibri"/>
        <family val="2"/>
      </rPr>
      <t>ó</t>
    </r>
  </si>
  <si>
    <t>Conclusion of the Oil and Gas Authority (OGA) workshop (03/10/2018) was that, based on the evidence presented, there was no causal link between the seismic events and oil and gas activity (OGA, 2018). Hicks et al. (2019) find it unlikely nearby industrial activities induced the seismic swarm.</t>
  </si>
  <si>
    <t>Boulby mine, North Yorkshire</t>
  </si>
  <si>
    <t>Salt, Potash, Polyhalite</t>
  </si>
  <si>
    <t>BGS (2019)</t>
  </si>
  <si>
    <t>https://earthquakes.bgs.ac.uk/induced/recent_uk_events.html</t>
  </si>
  <si>
    <t xml:space="preserve">04/03/2013 (Drilling), 14/07/2013 (Injection/Production - Testing) </t>
  </si>
  <si>
    <t xml:space="preserve">12/07/2013 (Drilling), 08/11/2013 (Injection/Production - Testing) </t>
  </si>
  <si>
    <t>March 2012 (Monitoring), 14/07/2013 (Seismicity)</t>
  </si>
  <si>
    <t>No seismic events related to project since mid 2015; monitoring still ongoing until at least August 2020</t>
  </si>
  <si>
    <r>
      <t>Kir</t>
    </r>
    <r>
      <rPr>
        <sz val="11"/>
        <color theme="1"/>
        <rFont val="Calibri"/>
        <family val="2"/>
      </rPr>
      <t>ály et al. (2014), Moeck et al. (2015), Alber and Backers (2015), Wolfgramm et al. (2015), Diehl et al. (2017), Zbinden et al. (2018), Thomas Bloch (personal communication, 2018, kundendienst@sgsw.ch)</t>
    </r>
  </si>
  <si>
    <t>Rongxian County, Sichuan Basin</t>
  </si>
  <si>
    <t>Israel</t>
  </si>
  <si>
    <t>Lake Kinneret</t>
  </si>
  <si>
    <t>2013 (September) and 2018 (July)</t>
  </si>
  <si>
    <t>Carbonates and Sandstones</t>
  </si>
  <si>
    <t>0-12000</t>
  </si>
  <si>
    <t>Colombia</t>
  </si>
  <si>
    <t>218 days</t>
  </si>
  <si>
    <t>Vendenheim, Robertsau, Strasbourg</t>
  </si>
  <si>
    <t>Duvernay East Shale Basin 10</t>
  </si>
  <si>
    <t>Location corresponds to Mmax epicentre. Site number from reference.</t>
  </si>
  <si>
    <t>Schultz and Wang (2020)</t>
  </si>
  <si>
    <t>Duvernay East Shale Basin 02</t>
  </si>
  <si>
    <t>Duvernay East Shale Basin 01</t>
  </si>
  <si>
    <t>Duvernay East Shale Basin -2</t>
  </si>
  <si>
    <t>Duvernay East Shale Basin -1</t>
  </si>
  <si>
    <t>Duvernay East Shale Basin 09</t>
  </si>
  <si>
    <t>Duvernay East Shale Basin 07&amp;08</t>
  </si>
  <si>
    <t>Duvernay East Shale Basin 04</t>
  </si>
  <si>
    <t>Largest earthquake in supplementary material is ML 0.53 on 21st May 2018. Location corresponds to Mmax epicentre. Site number from reference.</t>
  </si>
  <si>
    <t>Duvernay East Shale Basin 03</t>
  </si>
  <si>
    <t>Wetzler et al. (2019)</t>
  </si>
  <si>
    <t>Kolyvan Mine, Gorlovsky Coal Basin</t>
  </si>
  <si>
    <t>Increased coal extraction after 2011</t>
  </si>
  <si>
    <t>Emanov et al. (2020)</t>
  </si>
  <si>
    <t>Time lag of 2 months between increased occurrence of moderate-sized events and water level maxima</t>
  </si>
  <si>
    <t>Pavlou et al. (2013), Michas et al. (2020)</t>
  </si>
  <si>
    <t>Klose (2013), McGarr (1991), Nicholson (1992), Nicholoson and Wesson (1992), Segall (1985)</t>
  </si>
  <si>
    <t>Kouznetsov et al. (1994)</t>
  </si>
  <si>
    <t>Hough and Page (2016)</t>
  </si>
  <si>
    <t>Inglewood and Hawthorne, California</t>
  </si>
  <si>
    <t>1916 (August)</t>
  </si>
  <si>
    <t>1372-1524</t>
  </si>
  <si>
    <t>Gas reserves hit by May 1920 in Inglewood field and Hawthorne gas reserves likely hit at a simialr time, both predating the 22nd June 1920 earthquake</t>
  </si>
  <si>
    <t>Beverly Hills, Santa Monica, California</t>
  </si>
  <si>
    <t>Coyote East and Richfield, Yorba Linga, California</t>
  </si>
  <si>
    <t>1911 and 1923</t>
  </si>
  <si>
    <t>Santa Barbara, California</t>
  </si>
  <si>
    <t>Ventura, California</t>
  </si>
  <si>
    <t>Kern County, California</t>
  </si>
  <si>
    <t>Belgium</t>
  </si>
  <si>
    <t>Geothermal (reinjeciton)</t>
  </si>
  <si>
    <t>Balmatt (MOL-GT-02)</t>
  </si>
  <si>
    <t>2018 (December)</t>
  </si>
  <si>
    <r>
      <t>20, -0.1</t>
    </r>
    <r>
      <rPr>
        <sz val="11"/>
        <color theme="1"/>
        <rFont val="Calibri"/>
        <family val="2"/>
      </rPr>
      <t>≤ML≤2.1</t>
    </r>
  </si>
  <si>
    <t>3000-10000</t>
  </si>
  <si>
    <t>EGS</t>
  </si>
  <si>
    <t>United Downs Deep Geothermal Power Project</t>
  </si>
  <si>
    <t>2393-5275</t>
  </si>
  <si>
    <t>Mining (quarrying)</t>
  </si>
  <si>
    <t>Le Teil Quarry</t>
  </si>
  <si>
    <t>&gt;1000000</t>
  </si>
  <si>
    <t>m3/year</t>
  </si>
  <si>
    <t>Extracted volume from sum of volumes in Fig.3B</t>
  </si>
  <si>
    <t>De Novellis et al. (2020)</t>
  </si>
  <si>
    <t>Dnieper–Donets aulacogen</t>
  </si>
  <si>
    <t>Adushkin et al. (2016)</t>
  </si>
  <si>
    <t>5712, -2.4≤MW≤2.6</t>
  </si>
  <si>
    <t>Mining (seismicity following landslides)</t>
  </si>
  <si>
    <t>Bingham Canyon Mine, Utah</t>
  </si>
  <si>
    <r>
      <t>16, -0.8≤Md</t>
    </r>
    <r>
      <rPr>
        <sz val="11"/>
        <color theme="1"/>
        <rFont val="Calibri"/>
        <family val="2"/>
      </rPr>
      <t>≤</t>
    </r>
    <r>
      <rPr>
        <sz val="11"/>
        <color theme="1"/>
        <rFont val="Calibri"/>
        <family val="2"/>
        <scheme val="minor"/>
      </rPr>
      <t>2.6</t>
    </r>
  </si>
  <si>
    <t>0-1210</t>
  </si>
  <si>
    <t>Pankow et al. (2014)</t>
  </si>
  <si>
    <t>Acid-gas disposal (injection)</t>
  </si>
  <si>
    <t>Dawson Creek, British Columbia</t>
  </si>
  <si>
    <t>Zhang et al. (2016b) consider this event to be natural</t>
  </si>
  <si>
    <t>Atkinson et al. (2016)</t>
  </si>
  <si>
    <t>2014 (mid)</t>
  </si>
  <si>
    <t>Gonzalez-Huizar and Liu (2017) and Rodríguez-Martínez et al. (2018) suggest earthquakes induced by fluid injection related to hydraulic fracturing operations</t>
  </si>
  <si>
    <t>CCS1 well, Illinois Basin-Decatur Project</t>
  </si>
  <si>
    <t>1000000, 909000 (m3)</t>
  </si>
  <si>
    <t>CCS2 well, Illinois Industrial Carbon Capture and Sequestration Sources</t>
  </si>
  <si>
    <t>2017 (April)</t>
  </si>
  <si>
    <t>20000, -2.1≤M≤1.2</t>
  </si>
  <si>
    <t>Well started injecting 28 months after injection in CCS1 finished</t>
  </si>
  <si>
    <t>500000 (Avg)</t>
  </si>
  <si>
    <t>1800000, 1636000 (m3)</t>
  </si>
  <si>
    <t>Depth of project 40 m shallower than CCS1. Volume assuming liquid CO2 density of 1100 kg/m3</t>
  </si>
  <si>
    <t>Williams-Stroud et al. (2020)</t>
  </si>
  <si>
    <t>Kuzey (Northern) Marmara field, Thrace Basin</t>
  </si>
  <si>
    <t>Production volume 1997-2003. In 1999 the field produced 500 million m3 of gas</t>
  </si>
  <si>
    <t>Özgür (2020)</t>
  </si>
  <si>
    <t>Long Beach earthquake (Huntington Beach oilfields), California</t>
  </si>
  <si>
    <t>1920 (June)</t>
  </si>
  <si>
    <t>1126-1276</t>
  </si>
  <si>
    <t>Extraction rate and production depth for Jones 1 well</t>
  </si>
  <si>
    <t>Nicholson and Wesson (1992), Hough and Page (2016)</t>
  </si>
  <si>
    <t>Davis and Pennington (1989), Nicholson and Wesson (1992)</t>
  </si>
  <si>
    <t>San Ardo field, California</t>
  </si>
  <si>
    <t>6000-13000</t>
  </si>
  <si>
    <t>Goebel and Shirzaei (2020)</t>
  </si>
  <si>
    <t xml:space="preserve">MN 5.4 30th July 1925 earthquake generally considered natural but induced nature considered more plausible for MN 5.0 20th June 1936 earthquake. Walter et al (2018) state date as 30th June whereas Frohlich and Davis (2002) state date as 20th June. </t>
  </si>
  <si>
    <t>Frohlich and Davis (2002), Walter et al. (2018)</t>
  </si>
  <si>
    <t>5 days</t>
  </si>
  <si>
    <t>2 deaths and 12 injuries. Epicentre coordinates from IRIS earthquake browser. Yang et al. (2020) say MW 4.3 at 1 km depth</t>
  </si>
  <si>
    <t>588 (on local broadband network)</t>
  </si>
  <si>
    <t>Schultz et al. (2017), Eyre et al. (2020)</t>
  </si>
  <si>
    <t>Dawson-Septimus Event Family 1</t>
  </si>
  <si>
    <t>Event families from Table S2</t>
  </si>
  <si>
    <t>Roth et al. (2020)</t>
  </si>
  <si>
    <t>Dawson-Septimus Event Family 2</t>
  </si>
  <si>
    <t>Dawson-Septimus Event Family 3</t>
  </si>
  <si>
    <t>Dawson-Septimus Event Family 4</t>
  </si>
  <si>
    <t>Dawson-Septimus Event Family 5</t>
  </si>
  <si>
    <t>Dawson-Septimus Event Family 6</t>
  </si>
  <si>
    <t>Dawson-Septimus Event Family 7</t>
  </si>
  <si>
    <t>Dawson-Septimus Event Family 8</t>
  </si>
  <si>
    <t>Dawson-Septimus Event Family 9</t>
  </si>
  <si>
    <t>Dawson-Septimus Event Family 10</t>
  </si>
  <si>
    <t>Dawson-Septimus Event Family 11</t>
  </si>
  <si>
    <t>Dawson-Septimus Event Family 12</t>
  </si>
  <si>
    <t>Dawson-Septimus Event Family 13</t>
  </si>
  <si>
    <t>Dawson-Septimus Event Family 14</t>
  </si>
  <si>
    <t>Dawson-Septimus Event Family 15</t>
  </si>
  <si>
    <t>Dawson-Septimus Event Family 16</t>
  </si>
  <si>
    <t>Dawson-Septimus Event Family 17</t>
  </si>
  <si>
    <t>Dawson-Septimus Event Family 18</t>
  </si>
  <si>
    <t>Dawson-Septimus Event Family 19</t>
  </si>
  <si>
    <t>Dawson-Septimus Event Family 20</t>
  </si>
  <si>
    <t>Dawson-Septimus Event Family 21</t>
  </si>
  <si>
    <t>Dawson-Septimus Event Family 22</t>
  </si>
  <si>
    <t>Soğukyurt</t>
  </si>
  <si>
    <t>2017 (March)</t>
  </si>
  <si>
    <t>2000-7000</t>
  </si>
  <si>
    <t>1500-3700</t>
  </si>
  <si>
    <t>Injection rate is daily average injection</t>
  </si>
  <si>
    <t>Uytun et al. (2020)</t>
  </si>
  <si>
    <r>
      <rPr>
        <sz val="11"/>
        <color theme="1"/>
        <rFont val="Calibri"/>
        <family val="2"/>
      </rPr>
      <t>Ç</t>
    </r>
    <r>
      <rPr>
        <sz val="11"/>
        <color theme="1"/>
        <rFont val="Calibri"/>
        <family val="2"/>
        <scheme val="minor"/>
      </rPr>
      <t>e</t>
    </r>
    <r>
      <rPr>
        <sz val="11"/>
        <color theme="1"/>
        <rFont val="Calibri"/>
        <family val="2"/>
      </rPr>
      <t>ş</t>
    </r>
    <r>
      <rPr>
        <sz val="11"/>
        <color theme="1"/>
        <rFont val="Calibri"/>
        <family val="2"/>
        <scheme val="minor"/>
      </rPr>
      <t>neli-</t>
    </r>
    <r>
      <rPr>
        <sz val="11"/>
        <color theme="1"/>
        <rFont val="Calibri"/>
        <family val="2"/>
      </rPr>
      <t>Ş</t>
    </r>
    <r>
      <rPr>
        <sz val="11"/>
        <color theme="1"/>
        <rFont val="Calibri"/>
        <family val="2"/>
        <scheme val="minor"/>
      </rPr>
      <t>ahyar</t>
    </r>
  </si>
  <si>
    <t>2015 (October)</t>
  </si>
  <si>
    <t>1000-1900</t>
  </si>
  <si>
    <t>Alkan-Piyadeler</t>
  </si>
  <si>
    <t>2015 (September) - 2016 (October)</t>
  </si>
  <si>
    <t>1300-2700</t>
  </si>
  <si>
    <r>
      <rPr>
        <sz val="11"/>
        <color theme="1"/>
        <rFont val="Calibri"/>
        <family val="2"/>
      </rPr>
      <t>Ö</t>
    </r>
    <r>
      <rPr>
        <sz val="11"/>
        <color theme="1"/>
        <rFont val="Calibri"/>
        <family val="2"/>
        <scheme val="minor"/>
      </rPr>
      <t>rnekk</t>
    </r>
    <r>
      <rPr>
        <sz val="11"/>
        <color theme="1"/>
        <rFont val="Calibri"/>
        <family val="2"/>
      </rPr>
      <t>ö</t>
    </r>
    <r>
      <rPr>
        <sz val="11"/>
        <color theme="1"/>
        <rFont val="Calibri"/>
        <family val="2"/>
        <scheme val="minor"/>
      </rPr>
      <t>y</t>
    </r>
  </si>
  <si>
    <t>2000-2500</t>
  </si>
  <si>
    <t>Kemaliye</t>
  </si>
  <si>
    <t>2016 (May)</t>
  </si>
  <si>
    <t>700-3400</t>
  </si>
  <si>
    <t>Geothermal (injection tests)</t>
  </si>
  <si>
    <t>Okuaizu (Yanaizu-Nishiyama)</t>
  </si>
  <si>
    <t>2015 (June-August, November-December)</t>
  </si>
  <si>
    <t>1000-2600</t>
  </si>
  <si>
    <t>1970s</t>
  </si>
  <si>
    <t>3400-5600</t>
  </si>
  <si>
    <t>Location corresponds to Mmax epicentre from the Iris Earthquake Browser</t>
  </si>
  <si>
    <t>Kiruna (Kiirunavaara) mine</t>
  </si>
  <si>
    <t>2020 (May)</t>
  </si>
  <si>
    <t>0-845</t>
  </si>
  <si>
    <t>&gt;1000000000000</t>
  </si>
  <si>
    <t>Dineva and Boskovic (2017), Kozlowska et al. (2020)</t>
  </si>
  <si>
    <t>0.1-8</t>
  </si>
  <si>
    <t>Ake et al. (2005), Denlinger and O'Connell (2020)</t>
  </si>
  <si>
    <t>Atkinson et al. (2016), Mahani et al. (2017), Wang et al. (2020a), Wang et al. (2021)</t>
  </si>
  <si>
    <t>Aravalli Delhi fold belt</t>
  </si>
  <si>
    <t>Alluvium</t>
  </si>
  <si>
    <t>Tiwari et al. (2021)</t>
  </si>
  <si>
    <t>Mentone, Texas</t>
  </si>
  <si>
    <t>2012 (January)</t>
  </si>
  <si>
    <t>2019 (June and December)</t>
  </si>
  <si>
    <t>2019 (late)</t>
  </si>
  <si>
    <t>7 years</t>
  </si>
  <si>
    <r>
      <t>71  foreshocks (0.6</t>
    </r>
    <r>
      <rPr>
        <sz val="11"/>
        <color theme="1"/>
        <rFont val="Calibri"/>
        <family val="2"/>
      </rPr>
      <t>≤</t>
    </r>
    <r>
      <rPr>
        <sz val="11"/>
        <color theme="1"/>
        <rFont val="Calibri"/>
        <family val="2"/>
        <scheme val="minor"/>
      </rPr>
      <t>MW≤3.8)</t>
    </r>
  </si>
  <si>
    <t>4400-5200</t>
  </si>
  <si>
    <t xml:space="preserve">Injection in eight wells proposed to culminate in the seismicity. Total volume is sum of all eight wells and max rate is for Well 7 in Table S1. </t>
  </si>
  <si>
    <t>Tung et al. (2021)</t>
  </si>
  <si>
    <t>Gas extraction and fluid injection</t>
  </si>
  <si>
    <t>Shanul (Shanoul) gas field</t>
  </si>
  <si>
    <t>2006 (extraction started)</t>
  </si>
  <si>
    <t>2019 (January)</t>
  </si>
  <si>
    <t>∼300 events (Mn ≥ 2.5)</t>
  </si>
  <si>
    <t>m3/day</t>
  </si>
  <si>
    <t>Rate is production</t>
  </si>
  <si>
    <t>Jamalreyhani et al. (2021)</t>
  </si>
  <si>
    <t>Drilling</t>
  </si>
  <si>
    <t>Grane oil field (Well 25/11‐G‐8 A)</t>
  </si>
  <si>
    <t>Zarifi et al. (2021)</t>
  </si>
  <si>
    <t>Pohang (PX-1 and PX-2)</t>
  </si>
  <si>
    <t>4049-4362</t>
  </si>
  <si>
    <t>12800 (injected), 6959 (produced), 5841 (net injected)</t>
  </si>
  <si>
    <t>Park et al. (2017), Grigoli et al. (2018), Kim et al. (2018), Lim et al. (2020)</t>
  </si>
  <si>
    <t>232, -1.3≤ML≤1.7</t>
  </si>
  <si>
    <t>4100-5200</t>
  </si>
  <si>
    <t xml:space="preserve">Holmgren and Werner (2021), http://www.earthquakes.bgs.ac.uk/earthquakes/dataSearch.html </t>
  </si>
  <si>
    <t>Musreau Lake, Alberta</t>
  </si>
  <si>
    <t>2018 (January)</t>
  </si>
  <si>
    <t>2020 (March)</t>
  </si>
  <si>
    <t>44, ML&gt;1.4</t>
  </si>
  <si>
    <t>5000-9000</t>
  </si>
  <si>
    <t>Injection volume June2017 to March 2020</t>
  </si>
  <si>
    <t>Li et al. (2021)</t>
  </si>
  <si>
    <t>Xiluodo</t>
  </si>
  <si>
    <t>2013 (May)</t>
  </si>
  <si>
    <t>0-13000</t>
  </si>
  <si>
    <t>Zhang et al. (2021)</t>
  </si>
  <si>
    <t>Kao et al. (2015), Mahani et al. (2017)</t>
  </si>
  <si>
    <t>Eden Geothermal Project</t>
  </si>
  <si>
    <t>2022 (January)</t>
  </si>
  <si>
    <t>https://www.edengeothermal.com/2022/03/10/felt-seismicity-update/</t>
  </si>
  <si>
    <t>Jones et al. (1994), Klose (2007c), Klose (2013)</t>
  </si>
  <si>
    <t>Marenci Mine, Arizona</t>
  </si>
  <si>
    <t>Caloi (1970), Braun et al. (2018)</t>
  </si>
  <si>
    <t>Cluster D, Western Texas Panhandle</t>
  </si>
  <si>
    <t>Evidence available suggests that some earthquakes could be induced</t>
  </si>
  <si>
    <r>
      <t>Rubiales and Quifa oil fields (Puerto Gait</t>
    </r>
    <r>
      <rPr>
        <sz val="11"/>
        <color theme="1"/>
        <rFont val="Calibri"/>
        <family val="2"/>
      </rPr>
      <t>á</t>
    </r>
    <r>
      <rPr>
        <sz val="11"/>
        <color theme="1"/>
        <rFont val="Calibri"/>
        <family val="2"/>
        <scheme val="minor"/>
      </rPr>
      <t>n sequence), Puerto Gait</t>
    </r>
    <r>
      <rPr>
        <sz val="11"/>
        <color theme="1"/>
        <rFont val="Calibri"/>
        <family val="2"/>
      </rPr>
      <t>á</t>
    </r>
    <r>
      <rPr>
        <sz val="11"/>
        <color theme="1"/>
        <rFont val="Calibri"/>
        <family val="2"/>
        <scheme val="minor"/>
      </rPr>
      <t>n</t>
    </r>
  </si>
  <si>
    <t>Rubiales injection 23/11/2007, Quifa injection 04/01/2012</t>
  </si>
  <si>
    <t>510-850</t>
  </si>
  <si>
    <t>Fields are contiguous and have linked operations. Injection rates per well in Molina et al. (2020)</t>
  </si>
  <si>
    <t>Alba et al. (2020), Molina et al. (2020)</t>
  </si>
  <si>
    <t>Klein (1976), Klose (2013)</t>
  </si>
  <si>
    <t>Atatürk</t>
  </si>
  <si>
    <t>1983 (construction), 1990 (water impoundment), 1992 (operational)</t>
  </si>
  <si>
    <t>Büyükakpınar et al. (2021)</t>
  </si>
  <si>
    <t>Son La</t>
  </si>
  <si>
    <t>2010 (May)</t>
  </si>
  <si>
    <t>2011 (June) filling complete</t>
  </si>
  <si>
    <t>2000-10000</t>
  </si>
  <si>
    <t>Dinh et al. (2021)</t>
  </si>
  <si>
    <t>Dhamni</t>
  </si>
  <si>
    <t>Automotive testing site</t>
  </si>
  <si>
    <t>Xibu automotive testing site, Dianjiang, Chongqing</t>
  </si>
  <si>
    <t>0-20</t>
  </si>
  <si>
    <t>Qian et al. (2019), Lei et al. (2020), Chen et al. (2023)</t>
  </si>
  <si>
    <t>Skyscaper</t>
  </si>
  <si>
    <t>Lin (2005), Chen et al. (2023)</t>
  </si>
  <si>
    <t>Argentina</t>
  </si>
  <si>
    <t>Oil and gas extraction and Secondary recovery (water injection)</t>
  </si>
  <si>
    <t>Las Heras, Golfo de San Jorge basin</t>
  </si>
  <si>
    <t>Average well depth</t>
  </si>
  <si>
    <t>Tamburini-Beliveau et al. (2022)</t>
  </si>
  <si>
    <t>Genmo et al. (1995), Chen et al. (2023)</t>
  </si>
  <si>
    <t>Tang et al. (2015), Chen et al. (2023)</t>
  </si>
  <si>
    <t>Suckale (2009), Chen et al. (2023)</t>
  </si>
  <si>
    <t>Pucheng, Henan</t>
  </si>
  <si>
    <t>Sun et al. (2018), Chen et al. (2023)</t>
  </si>
  <si>
    <t>Lei et al. (2019), Chen et al. (2023)</t>
  </si>
  <si>
    <r>
      <t>Sauzal Bonito, Neuqu</t>
    </r>
    <r>
      <rPr>
        <sz val="11"/>
        <color theme="1"/>
        <rFont val="Calibri"/>
        <family val="2"/>
      </rPr>
      <t>é</t>
    </r>
    <r>
      <rPr>
        <sz val="11"/>
        <color theme="1"/>
        <rFont val="Calibri"/>
        <family val="2"/>
        <scheme val="minor"/>
      </rPr>
      <t>n basin</t>
    </r>
  </si>
  <si>
    <t>2017 (January)</t>
  </si>
  <si>
    <t>63, Nov 2015-Nov 2020</t>
  </si>
  <si>
    <t>Lei et al. (2017), Meng et al. (2019), Chen et al. (2023)</t>
  </si>
  <si>
    <t>Zhou et al. (2019), Yang et al. (2020), Chen et al. (2023)</t>
  </si>
  <si>
    <t>1000-4000</t>
  </si>
  <si>
    <t>ML 4.5</t>
  </si>
  <si>
    <t>https://www.cbc.ca/news/canada/british-columbia/earthquake-fort-st-john-fracking-1.4927898, Peña Castro et al. (2020), Salvage and Eaton (2022)</t>
  </si>
  <si>
    <t>Lei et al. (2017), Chen et al. (2023)</t>
  </si>
  <si>
    <t>HF1 -4 wells Montney Basin, British Columbia</t>
  </si>
  <si>
    <t>≤2800</t>
  </si>
  <si>
    <t>1800-2000</t>
  </si>
  <si>
    <t>Location of HF1 well</t>
  </si>
  <si>
    <t>Yu et al. (2019)</t>
  </si>
  <si>
    <t>Ordos Basin</t>
  </si>
  <si>
    <t>Sandstone/Shale</t>
  </si>
  <si>
    <t>1500-1650</t>
  </si>
  <si>
    <t>1550-1650</t>
  </si>
  <si>
    <t>Single well data. Location of site within Ordos Basin unknown</t>
  </si>
  <si>
    <t>Li et al. (2022)</t>
  </si>
  <si>
    <t>https://renass.unistra.fr/sismicite/derniers-seismes-en-metropole, Schmittbuhl et al. (2021)</t>
  </si>
  <si>
    <t>Plant launched in Decmber 2018 but earthquakes were associated with injection test in September 2016</t>
  </si>
  <si>
    <t>https://seismologie.be/en/seismology/seismicity-in-belgium/online-database, https://vito.be/en/news/update-deep-geothermal-central-balmatt-site</t>
  </si>
  <si>
    <t>M 4.9 occurred on 12th October 2009</t>
  </si>
  <si>
    <t>Mizugaki (2000), Okamoto et al. (2018), Okamoto et al. (2020), Darisma et al. (2023)</t>
  </si>
  <si>
    <t>San Emidio, Nevada</t>
  </si>
  <si>
    <t>Mmax &lt;1.3 for shut down monitoring periods December 2016 and April 2022</t>
  </si>
  <si>
    <t>Feigl et al. (2023)</t>
  </si>
  <si>
    <t>Presidente Prudente, Paraná Basin</t>
  </si>
  <si>
    <t>m</t>
  </si>
  <si>
    <t>Yamabe and Gómez (1991), Assumpção et al. (2010)</t>
  </si>
  <si>
    <t>COLABA and FM wells, Nuporanga, Paraná Basin</t>
  </si>
  <si>
    <t>1977 (May)</t>
  </si>
  <si>
    <t>Yamabe and Hamza (1996), Assumpção et al. (2010)</t>
  </si>
  <si>
    <t>Fernando Prestes, Paraná Basin</t>
  </si>
  <si>
    <t>Berrocal et al. (1984), Assumpção et al. (2010)</t>
  </si>
  <si>
    <t>2006 (April)</t>
  </si>
  <si>
    <t>Li et al. (2020), Wang et al. (2020c), Chen et al. (2023)</t>
  </si>
  <si>
    <t>Sun et al. (2017), Chen et al. (2023)</t>
  </si>
  <si>
    <t>Zhang et al. (1993), Li et al. (2007), Chen et al. (2023), http://mrdata.usgs.gov/mineral-operations/</t>
  </si>
  <si>
    <t>Li et al. (2007), Chen et al. (2023)</t>
  </si>
  <si>
    <t>Chen et al. (2023) class as waste fluid disposal and give Mmax as ML 4.4</t>
  </si>
  <si>
    <t>Wang et al. (2018), Chen et al. (2023)</t>
  </si>
  <si>
    <t>1966 (May)</t>
  </si>
  <si>
    <t>Feng (2002), Li et al. (2007), Chen et al. (2023)</t>
  </si>
  <si>
    <t>Wu and Zijian (1996), Li et al. (2007), Trippi et al. (2014), Chen et al. (2023)</t>
  </si>
  <si>
    <t>Shimen Huatou Gypsum mine</t>
  </si>
  <si>
    <t>Tong et al. (2009), Chen et al. (2023)</t>
  </si>
  <si>
    <t>Li et al. (2007), Trippi et al. (2014), Chen et al. (2023)</t>
  </si>
  <si>
    <t>Tong et al. (2003), Li et al. (2007), Chen et al. (2023)</t>
  </si>
  <si>
    <t>5000-8000</t>
  </si>
  <si>
    <t>Li et al. (2007), Trippi et al. (2014), Tong and Min (2010), Chen et al. (2023)</t>
  </si>
  <si>
    <t>Li et al. (2007), Trippi et al. (2014), Wang et al. (2018), Chen et al. (2023)</t>
  </si>
  <si>
    <t>Shengli mine, Fushun, Liaoning</t>
  </si>
  <si>
    <t>Li et al. (2007), Tong et al. (2009), Chen et al. (2023)</t>
  </si>
  <si>
    <t>Pingmeidong mine</t>
  </si>
  <si>
    <t>Li (2014), Chen et al. (2023)</t>
  </si>
  <si>
    <t>Dagandshan Hydropower Station</t>
  </si>
  <si>
    <t>Xu et al. (2012), Chen et al. (2023)</t>
  </si>
  <si>
    <t>Tian Ma (personal communication, 2016, Tianhuima@dlut.edu.cn), Tang et al. (2010), Chen et al. (2023), http://mrdata.usgs.gov/mrds/show-mrds.php?dep_id=10280443</t>
  </si>
  <si>
    <t>Tian Ma (personal communication, 2016, Tianhuima@dlut.edu.cn), Tang et al. (2010), Chen et al. (2023)</t>
  </si>
  <si>
    <t>Zhu (1992), Li et al. (2007), Chen et al. (2023)</t>
  </si>
  <si>
    <t>Miao et al. (1999), Li et al. (2007), Chen et al. (2023)</t>
  </si>
  <si>
    <t>Li et al. (2007), Yuan et al. (2021), Chen et al. (2023)</t>
  </si>
  <si>
    <t>Li et al. (2007), Chen et al. (2023), http://mrdata.usgs.gov/mrds/show-mrds.php?dep_id=10280443</t>
  </si>
  <si>
    <t>Taixin mine, Liaoyuan, Jilin</t>
  </si>
  <si>
    <t>Benxi Niuxintai mine, Shenyang, Liaoning</t>
  </si>
  <si>
    <t>Changgouyu/Zhanggouyu mine, Beijing, Beijing</t>
  </si>
  <si>
    <t>Tangshan mine, Kailuan, Hebei</t>
  </si>
  <si>
    <t>Guantai mine, Cixian, Hebei</t>
  </si>
  <si>
    <t>Suncun mine, Xinwen, Shandong</t>
  </si>
  <si>
    <t>Zhangzhuang mine, Xinwen, Shandong</t>
  </si>
  <si>
    <t>Dongtan mine, Yankuang, Shandong</t>
  </si>
  <si>
    <t>Baodian mine, Yankuang, Shandong</t>
  </si>
  <si>
    <t>Li et al. (2007), Trippi et al. (2014), Wang et al. (2020b), Chen et al. (2023)</t>
  </si>
  <si>
    <t>Tian Ma (personal communication, 2016, Tianhuima@dlut.edu.cn), Tang et al. (2010), Ma et al. (2015a), Chen et al. (2023)</t>
  </si>
  <si>
    <t>Puqing Iron Mine</t>
  </si>
  <si>
    <t>Ouyang et al. (2008), Chen et al. (2023)</t>
  </si>
  <si>
    <t>1971 (November)</t>
  </si>
  <si>
    <t>1973 (October)</t>
  </si>
  <si>
    <t>Boucher et al. (1969), http://nuclearweaponarchive.org/Usa/Tests/Nevada.html</t>
  </si>
  <si>
    <t>Boucher et al. (1969), McKeown and Dickey (1969), http://nuclearweaponarchive.org/Usa/Tests/Nevada.html</t>
  </si>
  <si>
    <t>Ma et al. (2015b), Xiumin et al. (2015), Chen et al. (2023)</t>
  </si>
  <si>
    <t>Frontier Observatory for Research in Geothermal Energy (FORGE), Utah</t>
  </si>
  <si>
    <t>2591 (-2.09≤M≤0.52)</t>
  </si>
  <si>
    <t>2022 (April)</t>
  </si>
  <si>
    <t>bpm</t>
  </si>
  <si>
    <t>Microseismicity observed from stage 3 of well 16A(78)-32</t>
  </si>
  <si>
    <t>McClure (2023), Whidden et al. (2023)</t>
  </si>
  <si>
    <t>Baisch and Harjes (2003), Evans et al. (2012), Klose (2013)</t>
  </si>
  <si>
    <t>EGS Collab, Sanford Underground Reseach Facility (SURF), Lead, South Dakota</t>
  </si>
  <si>
    <t>L/min</t>
  </si>
  <si>
    <t>First seismicity detected in Experiment 3</t>
  </si>
  <si>
    <t>Kneafsey et al. (2023)</t>
  </si>
  <si>
    <t>Kong #12 well</t>
  </si>
  <si>
    <t>Du et al. (2002), Chen et al. (2023)</t>
  </si>
  <si>
    <t>Lei et al. (2008), Lei et al. (2011), Chen et al. (2023)</t>
  </si>
  <si>
    <t>4.5 years</t>
  </si>
  <si>
    <t>L/S</t>
  </si>
  <si>
    <t>2.6 m3/month injection rate taken from figure 2b</t>
  </si>
  <si>
    <t>Schultz et al. (2023)</t>
  </si>
  <si>
    <t>Lei et al. (2013), Chen et al. (2023)</t>
  </si>
  <si>
    <t>Wells 13-11, 14-25, 06-29, 02-20 (northern cluster), Peace River, Alberta</t>
  </si>
  <si>
    <t>3.0 m3/month injection rate taken from figure 2f</t>
  </si>
  <si>
    <t>Wells 13-11, 13-10 (middle cluster), Peace River, Alberta</t>
  </si>
  <si>
    <t>1 year</t>
  </si>
  <si>
    <t>6.5 m3/month injection rate taken from figure 2d</t>
  </si>
  <si>
    <t>Ge et al. (2009), Chen et al. (2023)</t>
  </si>
  <si>
    <t>Longyangxia</t>
  </si>
  <si>
    <t>1981 (October)</t>
  </si>
  <si>
    <t>Massive granite</t>
  </si>
  <si>
    <t>Chang and Shen (1997), Qin and De (2000), Chen et al. (2023)</t>
  </si>
  <si>
    <t>1959 (November)</t>
  </si>
  <si>
    <t>Guha and Patil (1990), Shen and Chang (1995), Yang (2000), Gupta (2002), Klose (2013), Chang and Hu (2018), Chen et al. (2023)</t>
  </si>
  <si>
    <t>Chung and Liu (1992), Gupta (2002), Klose (2013)</t>
  </si>
  <si>
    <t>Adams (1969), Xie et al. (2021)</t>
  </si>
  <si>
    <t>Xiluodu</t>
  </si>
  <si>
    <t>Sedimentary rock</t>
  </si>
  <si>
    <t>Luo et al. (2020), Chen et al. (2023)</t>
  </si>
  <si>
    <t>Guha and Patil (1990), Gupta (2002), Chen et al. (2023)</t>
  </si>
  <si>
    <t>Crystal, carbonatite</t>
  </si>
  <si>
    <t>Chen et al. (2008), Hua et al. (2013), Zhang et al. (2016a), Chang and Hu (2018), Huang et al. (2018), Chen et al. (2023)</t>
  </si>
  <si>
    <t>Xianyoujinzhong, Fujian</t>
  </si>
  <si>
    <t>Igneous rock</t>
  </si>
  <si>
    <t>Xu et al. (2019), Chen et al. (2023)</t>
  </si>
  <si>
    <t>Yinpan, Wulong</t>
  </si>
  <si>
    <t>2011 (Summer)</t>
  </si>
  <si>
    <t>Lei et al. (2020), Chen et al. (2023)</t>
  </si>
  <si>
    <t>Limestone and dolomite</t>
  </si>
  <si>
    <t>Gupta (2002), Ma (2012), Huang and Guo (2017), Chen et al. (2023)</t>
  </si>
  <si>
    <t>Sand shale</t>
  </si>
  <si>
    <t>Hua et al. (2013), Chang and Hu (2018), Chen et al. (2023)</t>
  </si>
  <si>
    <t>Layered limestone</t>
  </si>
  <si>
    <t>Guha and Patil (1990), Yang (2000), Gupta (2002), Wang et al. (2014), Chang and Hu (2018), Chen et al. (2023)</t>
  </si>
  <si>
    <t>Shiquan</t>
  </si>
  <si>
    <t>Chen (1993), Chen et al. (2023)</t>
  </si>
  <si>
    <t>Daqiao (Mianning Bridge)</t>
  </si>
  <si>
    <t>Massive granite, siltstone an mudstone</t>
  </si>
  <si>
    <t>Hu (2004), Xie et al. (2004), Chen et al. (2023)</t>
  </si>
  <si>
    <t>Manwan</t>
  </si>
  <si>
    <t>Rhyolite</t>
  </si>
  <si>
    <t>Wang et al. (2005), Mao et al. (2008), Chen et al. (2023)</t>
  </si>
  <si>
    <t>Shanxi</t>
  </si>
  <si>
    <t>Ma et al. (2016), Yang et al. (2019a), Chen et al. (2023)</t>
  </si>
  <si>
    <t>1954 (December)</t>
  </si>
  <si>
    <t>Quartzite and granite</t>
  </si>
  <si>
    <t>Liu and Cao (1980), Guha and Patil (1990), Yang (2000), Gupta (2002), Chen et al. (2023)</t>
  </si>
  <si>
    <t>Guang (1996), Gupta (2002), Chen et al. (2023)</t>
  </si>
  <si>
    <t>Houziyan</t>
  </si>
  <si>
    <t>Dai et al. (2018), Chen et al. (2023)</t>
  </si>
  <si>
    <t>Xindian</t>
  </si>
  <si>
    <t>1974 (July)</t>
  </si>
  <si>
    <t>Guo (1995), Yang (2000), Xie et al. (2012), Chen et al. (2023)</t>
  </si>
  <si>
    <t>Dagangshan</t>
  </si>
  <si>
    <t>Zhao et al. (2019), Chen et al. (2023)</t>
  </si>
  <si>
    <t>Letan</t>
  </si>
  <si>
    <t>Mu et al. (2020), Chen et al. (2023)</t>
  </si>
  <si>
    <t>Gupta (2002), Xu and Chen (2004), Chen et al. (2023)</t>
  </si>
  <si>
    <t>Guangzhao</t>
  </si>
  <si>
    <t>2007 (April)</t>
  </si>
  <si>
    <t>Chen et al. (2014), Chen et al. (2023)</t>
  </si>
  <si>
    <t>Tianshengqiao I Hydropower Station</t>
  </si>
  <si>
    <t>1998 (March)</t>
  </si>
  <si>
    <t>Li (1999), Wang et al. (2001), Chen et al. (2023)</t>
  </si>
  <si>
    <t>Thick layered limestone</t>
  </si>
  <si>
    <t>Qin and Wu (1993), Gupta (2002), Klose (2013), Chang and Hu (2018), Chen et al. (2023)</t>
  </si>
  <si>
    <t>Xiaowan (Xiao Wan)</t>
  </si>
  <si>
    <t>Magmatic rock</t>
  </si>
  <si>
    <t>Hua et al. (2015), Jiang et al. (2016), Chang and Hu (2018), Chen et al. (2023)</t>
  </si>
  <si>
    <t>Qiapuqihai</t>
  </si>
  <si>
    <t>2006 (November)</t>
  </si>
  <si>
    <t>Carbonate rock</t>
  </si>
  <si>
    <t>Chang and Hu (2018), Chen et al. (2023)</t>
  </si>
  <si>
    <t>1980 (November)</t>
  </si>
  <si>
    <t>Wei (1987), Gupta (2002), Chen et al. (1987)</t>
  </si>
  <si>
    <t>Xiangjiaba</t>
  </si>
  <si>
    <t>Yang et al. (2019b), Chen et al. (2023)</t>
  </si>
  <si>
    <t>Xiaolangdi</t>
  </si>
  <si>
    <t>Sandstone siltstone</t>
  </si>
  <si>
    <t>Wang et al. (2006), Chang and Hu (2018), Chen et al. (2023)</t>
  </si>
  <si>
    <t>Yunpeng</t>
  </si>
  <si>
    <t>2007 (March)</t>
  </si>
  <si>
    <t>Luo et al. (2011), Chang and Hu (2018), Chen et al. (2023)</t>
  </si>
  <si>
    <t>1963 (April)</t>
  </si>
  <si>
    <t>Terashima (1988), Guha and Patil (1990)</t>
  </si>
  <si>
    <t>1969 (August)</t>
  </si>
  <si>
    <t>1952 (October)</t>
  </si>
  <si>
    <t>1969 (March)</t>
  </si>
  <si>
    <t>1957 (April)</t>
  </si>
  <si>
    <t>1961 (June)</t>
  </si>
  <si>
    <t>1965 (December)</t>
  </si>
  <si>
    <t>1973 (September)</t>
  </si>
  <si>
    <t>1963 (November)</t>
  </si>
  <si>
    <t>Ogouchi</t>
  </si>
  <si>
    <t>1957 (June)</t>
  </si>
  <si>
    <t>Terashima (1988)</t>
  </si>
  <si>
    <t>Ikari</t>
  </si>
  <si>
    <t>Miyakawa (Miyagawa, Mie?)</t>
  </si>
  <si>
    <t>1956 (October)</t>
  </si>
  <si>
    <t>Miure (Miura)</t>
  </si>
  <si>
    <t>1942 (October)</t>
  </si>
  <si>
    <t>Guo (1994), Yu and Wu (1996), Gupta (2002), Chen et al. (2023)</t>
  </si>
  <si>
    <t>Medium-thick limestone</t>
  </si>
  <si>
    <t>Yang (2000), Gupta (2002), Chang and Hu (2018), Chen et al. (2023)</t>
  </si>
  <si>
    <t>Wuxijiang</t>
  </si>
  <si>
    <t>1979 (May)</t>
  </si>
  <si>
    <t>Xia et al. (1986), Chang and Hu (2018), Chen et al. (2023)</t>
  </si>
  <si>
    <t>Liyuan</t>
  </si>
  <si>
    <t>Yang and Wang (2018), Chen et al. (2023)</t>
  </si>
  <si>
    <t>1972 (February)</t>
  </si>
  <si>
    <t>Chen (1985), Guha and Patil (1990), Yang (2000), Gupta (2002), Klose (2013), Chang and Hu (2018), Chen et al. (2023)</t>
  </si>
  <si>
    <t>Wawushan</t>
  </si>
  <si>
    <t>Zhang et al. (1996), Chang and Hu (2018), Chen et al. (2023)</t>
  </si>
  <si>
    <t>Guha and Patil (1990), Yang (2000), Gupta (2002), Chang and Hu (2018), Chen et al. (2023)</t>
  </si>
  <si>
    <t>Feng cun</t>
  </si>
  <si>
    <t>1984 (April)</t>
  </si>
  <si>
    <t>Yi et al. (1989), Chang and Hu (2018), Chen et al. (2023)</t>
  </si>
  <si>
    <t>1979 (June)</t>
  </si>
  <si>
    <t>Gupta (2002), Chen et al. (2023)</t>
  </si>
  <si>
    <t>Dongfeng</t>
  </si>
  <si>
    <t>Wikipedia lists dam height as 162 m</t>
  </si>
  <si>
    <t>Luo (1996), Yang (2000), Chen et al. (2023)</t>
  </si>
  <si>
    <t>Yinzidu</t>
  </si>
  <si>
    <t>Sandstone, mudstone intercalated with coal</t>
  </si>
  <si>
    <t>Xu and Wang (2006), Chen et al. (2023)</t>
  </si>
  <si>
    <t>Second beach</t>
  </si>
  <si>
    <t>Xie et al. (2012), Chen et al. (2023)</t>
  </si>
  <si>
    <t>Geheyan</t>
  </si>
  <si>
    <t>Wikipedia lists dam height as 157 m</t>
  </si>
  <si>
    <t>Wang and Gao (1998), Chang and Hu (2018), Chen et al. (2023)</t>
  </si>
  <si>
    <t>1973 (May)</t>
  </si>
  <si>
    <t>Guha and Patil (1990),  Dai (1997), Yang (2000), Gupta (2002), Chang and Hu (2018), Chen et al. (2023)</t>
  </si>
  <si>
    <t>Xiao (1990),  Yang (2000), Gupta (2002), Chang and Hu (2018), Chen et al. (2023)</t>
  </si>
  <si>
    <t>Dongjiang</t>
  </si>
  <si>
    <t>1987 (November)</t>
  </si>
  <si>
    <t>Hu et al. (1997), Yang (2000), Chang and Hu (2018), Chen et al. (2023)</t>
  </si>
  <si>
    <t>Quxue, Sichuan</t>
  </si>
  <si>
    <t>Yao et al. (2019), Chen et al. (2023)</t>
  </si>
  <si>
    <t>Dengjiaqiao</t>
  </si>
  <si>
    <t>1980 (August)</t>
  </si>
  <si>
    <t>Yang (1990), Chen et al. (2023)</t>
  </si>
  <si>
    <t>Fundão</t>
  </si>
  <si>
    <t>Authors suggest the possibility of the seismicity being induced by the dam impoundment</t>
  </si>
  <si>
    <t xml:space="preserve"> Agurto-Detzel et al. (2016)</t>
  </si>
  <si>
    <t>Pubugou</t>
  </si>
  <si>
    <t>Metamorphic rock</t>
  </si>
  <si>
    <t>Ge et al. (2014), Chang and Hu (2018), Chen et al. (2023)</t>
  </si>
  <si>
    <t>Shuibuya</t>
  </si>
  <si>
    <t>Liu et al. (2021), Chen et al. (2023)</t>
  </si>
  <si>
    <t>China (Taiwan)</t>
  </si>
  <si>
    <t>Wells 14-18, 06-14 (southern cluster), Peace River, Alberta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</si>
</sst>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numFmts>
  <fonts count="13" x14ac:knownFonts="1">
    <font>
      <sz val="11"/>
      <color theme="1"/>
      <name val="Calibri"/>
      <family val="2"/>
      <scheme val="minor"/>
    </font>
    <font>
      <b/>
      <sz val="11"/>
      <color theme="1"/>
      <name val="Calibri"/>
      <family val="2"/>
      <scheme val="minor"/>
    </font>
    <font>
      <b/>
      <vertAlign val="superscript"/>
      <sz val="11"/>
      <color theme="1"/>
      <name val="Calibri"/>
      <family val="2"/>
      <scheme val="minor"/>
    </font>
    <font>
      <b/>
      <sz val="11"/>
      <color theme="1"/>
      <name val="Calibri"/>
      <family val="2"/>
    </font>
    <font>
      <sz val="11"/>
      <color theme="1"/>
      <name val="Calibri"/>
      <family val="2"/>
    </font>
    <font>
      <sz val="8.8000000000000007"/>
      <color theme="1"/>
      <name val="Calibri"/>
      <family val="2"/>
    </font>
    <font>
      <vertAlign val="subscript"/>
      <sz val="11"/>
      <color theme="1"/>
      <name val="Calibri"/>
      <family val="2"/>
      <scheme val="minor"/>
    </font>
    <font>
      <vertAlign val="superscript"/>
      <sz val="11"/>
      <color theme="1"/>
      <name val="Calibri"/>
      <family val="2"/>
      <scheme val="minor"/>
    </font>
    <font>
      <sz val="7.7"/>
      <color theme="1"/>
      <name val="Calibri"/>
      <family val="2"/>
    </font>
    <font>
      <sz val="10"/>
      <color rgb="FF222222"/>
      <name val="Arial"/>
      <family val="2"/>
    </font>
    <font>
      <sz val="11"/>
      <color theme="1"/>
      <name val="Trebuchet MS"/>
      <family val="2"/>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26">
    <xf numFmtId="0" fontId="0" fillId="0" borderId="0" xfId="0"/>
    <xf numFmtId="0" fontId="0" fillId="0" borderId="0" xfId="1" applyFont="1" applyFill="1" applyAlignment="1">
      <alignment horizontal="left"/>
    </xf>
    <xf numFmtId="0" fontId="11" fillId="0" borderId="0" xfId="1" applyFill="1" applyAlignment="1">
      <alignment horizontal="left"/>
    </xf>
    <xf numFmtId="0" fontId="1" fillId="0" borderId="0" xfId="0" applyFont="1" applyAlignment="1">
      <alignment horizontal="left"/>
    </xf>
    <xf numFmtId="164" fontId="1" fillId="0" borderId="0" xfId="0" applyNumberFormat="1" applyFont="1" applyAlignment="1">
      <alignment horizontal="left"/>
    </xf>
    <xf numFmtId="0" fontId="0" fillId="0" borderId="0" xfId="0" applyAlignment="1">
      <alignment horizontal="left"/>
    </xf>
    <xf numFmtId="14" fontId="0" fillId="0" borderId="0" xfId="0" applyNumberFormat="1" applyAlignment="1">
      <alignment horizontal="left"/>
    </xf>
    <xf numFmtId="164" fontId="0" fillId="0" borderId="0" xfId="0" applyNumberFormat="1" applyAlignment="1">
      <alignment horizontal="left"/>
    </xf>
    <xf numFmtId="0" fontId="0" fillId="0" borderId="0" xfId="0" quotePrefix="1" applyAlignment="1">
      <alignment horizontal="left"/>
    </xf>
    <xf numFmtId="16" fontId="0" fillId="0" borderId="0" xfId="0" applyNumberFormat="1" applyAlignment="1">
      <alignment horizontal="left"/>
    </xf>
    <xf numFmtId="0" fontId="4" fillId="0" borderId="0" xfId="0" applyFont="1" applyAlignment="1">
      <alignment horizontal="left"/>
    </xf>
    <xf numFmtId="0" fontId="4" fillId="0" borderId="0" xfId="0" quotePrefix="1" applyFont="1" applyAlignment="1">
      <alignment horizontal="left"/>
    </xf>
    <xf numFmtId="165" fontId="0" fillId="0" borderId="0" xfId="0" applyNumberFormat="1" applyAlignment="1">
      <alignment horizontal="left"/>
    </xf>
    <xf numFmtId="164" fontId="0" fillId="0" borderId="0" xfId="0" applyNumberFormat="1" applyAlignment="1">
      <alignment horizontal="left" vertical="center"/>
    </xf>
    <xf numFmtId="0" fontId="0" fillId="0" borderId="0" xfId="0" applyAlignment="1">
      <alignment horizontal="left" vertical="center"/>
    </xf>
    <xf numFmtId="14" fontId="0" fillId="0" borderId="0" xfId="0" applyNumberFormat="1" applyAlignment="1">
      <alignment horizontal="left" vertical="center"/>
    </xf>
    <xf numFmtId="0" fontId="4" fillId="0" borderId="0" xfId="0" applyFont="1" applyAlignment="1">
      <alignment horizontal="left" vertical="center"/>
    </xf>
    <xf numFmtId="3" fontId="0" fillId="0" borderId="0" xfId="0" applyNumberFormat="1" applyAlignment="1">
      <alignment horizontal="left"/>
    </xf>
    <xf numFmtId="0" fontId="9" fillId="0" borderId="0" xfId="0" applyFont="1" applyAlignment="1">
      <alignment horizontal="left"/>
    </xf>
    <xf numFmtId="16" fontId="0" fillId="0" borderId="0" xfId="0" quotePrefix="1" applyNumberFormat="1" applyAlignment="1">
      <alignment horizontal="left"/>
    </xf>
    <xf numFmtId="0" fontId="12" fillId="0" borderId="0" xfId="0" applyFont="1" applyAlignment="1">
      <alignment horizontal="left" vertical="center"/>
    </xf>
    <xf numFmtId="164" fontId="12" fillId="0" borderId="0" xfId="0" applyNumberFormat="1" applyFont="1" applyAlignment="1">
      <alignment horizontal="left"/>
    </xf>
    <xf numFmtId="0" fontId="12" fillId="0" borderId="0" xfId="0" applyFont="1" applyAlignment="1">
      <alignment horizontal="left"/>
    </xf>
    <xf numFmtId="0" fontId="0" fillId="0" borderId="0" xfId="0" applyAlignment="1">
      <alignment horizontal="left" vertical="center" wrapText="1"/>
    </xf>
    <xf numFmtId="17" fontId="0" fillId="0" borderId="0" xfId="0" applyNumberFormat="1" applyAlignment="1">
      <alignment horizontal="left"/>
    </xf>
    <xf numFmtId="0" fontId="0" fillId="0" borderId="0" xfId="0"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dengeothermal.com/2022/03/10/felt-seismicity-upd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46829-7BEA-4273-8297-17EF6CD61E68}">
  <dimension ref="A1:AJ1295"/>
  <sheetViews>
    <sheetView tabSelected="1" zoomScale="60" zoomScaleNormal="60" workbookViewId="0"/>
  </sheetViews>
  <sheetFormatPr defaultRowHeight="15" x14ac:dyDescent="0.25"/>
  <cols>
    <col min="1" max="1" width="18.5703125" style="5" bestFit="1" customWidth="1"/>
    <col min="2" max="2" width="18.5703125" style="5" customWidth="1"/>
    <col min="3" max="3" width="69" style="5" bestFit="1" customWidth="1"/>
    <col min="4" max="4" width="85.140625" style="5" bestFit="1" customWidth="1"/>
    <col min="5" max="6" width="34.28515625" style="5" customWidth="1"/>
    <col min="7" max="7" width="23" style="5" customWidth="1"/>
    <col min="8" max="8" width="21.42578125" style="5" customWidth="1"/>
    <col min="9" max="9" width="19.140625" style="5" customWidth="1"/>
    <col min="10" max="10" width="19.5703125" style="5" bestFit="1" customWidth="1"/>
    <col min="11" max="11" width="16.42578125" style="5" customWidth="1"/>
    <col min="12" max="12" width="24.85546875" style="5" bestFit="1" customWidth="1"/>
    <col min="13" max="13" width="15" style="5" customWidth="1"/>
    <col min="14" max="14" width="12" style="5" bestFit="1" customWidth="1"/>
    <col min="15" max="15" width="26" style="5" bestFit="1" customWidth="1"/>
    <col min="16" max="16" width="26.85546875" style="7" bestFit="1" customWidth="1"/>
    <col min="17" max="17" width="17" style="5" bestFit="1" customWidth="1"/>
    <col min="18" max="18" width="26.85546875" style="5" customWidth="1"/>
    <col min="19" max="19" width="30.7109375" style="5" bestFit="1" customWidth="1"/>
    <col min="20" max="20" width="23.42578125" style="5" bestFit="1" customWidth="1"/>
    <col min="21" max="21" width="24.28515625" style="5" customWidth="1"/>
    <col min="22" max="22" width="27.42578125" style="5" bestFit="1" customWidth="1"/>
    <col min="23" max="23" width="27.140625" style="5" bestFit="1" customWidth="1"/>
    <col min="24" max="24" width="30" style="5" bestFit="1" customWidth="1"/>
    <col min="25" max="25" width="15.5703125" style="5" bestFit="1" customWidth="1"/>
    <col min="26" max="26" width="23.7109375" style="5" bestFit="1" customWidth="1"/>
    <col min="27" max="27" width="55.7109375" style="5" customWidth="1"/>
    <col min="28" max="28" width="8.85546875" style="5" bestFit="1" customWidth="1"/>
    <col min="29" max="29" width="50.7109375" style="5" bestFit="1" customWidth="1"/>
    <col min="30" max="30" width="8.140625" style="5" bestFit="1" customWidth="1"/>
    <col min="31" max="31" width="49.42578125" style="5" bestFit="1" customWidth="1"/>
    <col min="32" max="32" width="34.85546875" style="5" customWidth="1"/>
    <col min="33" max="33" width="32" style="5" customWidth="1"/>
    <col min="34" max="34" width="15.42578125" style="5" bestFit="1" customWidth="1"/>
    <col min="35" max="35" width="146.140625" style="5" bestFit="1" customWidth="1"/>
    <col min="36" max="36" width="173.28515625" style="5" bestFit="1" customWidth="1"/>
    <col min="37" max="16384" width="9.140625" style="5"/>
  </cols>
  <sheetData>
    <row r="1" spans="1:36" s="3" customFormat="1" ht="17.25"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4" t="s">
        <v>15</v>
      </c>
      <c r="Q1" s="3" t="s">
        <v>16</v>
      </c>
      <c r="R1" s="3" t="s">
        <v>17</v>
      </c>
      <c r="S1" s="3" t="s">
        <v>18</v>
      </c>
      <c r="T1" s="3" t="s">
        <v>19</v>
      </c>
      <c r="U1" s="3" t="s">
        <v>20</v>
      </c>
      <c r="V1" s="3" t="s">
        <v>21</v>
      </c>
      <c r="W1" s="3" t="s">
        <v>22</v>
      </c>
      <c r="X1" s="3" t="s">
        <v>23</v>
      </c>
      <c r="Y1" s="3" t="s">
        <v>24</v>
      </c>
      <c r="Z1" s="3" t="s">
        <v>2262</v>
      </c>
      <c r="AA1" s="3" t="s">
        <v>25</v>
      </c>
      <c r="AB1" s="3" t="s">
        <v>26</v>
      </c>
      <c r="AC1" s="3" t="s">
        <v>27</v>
      </c>
      <c r="AD1" s="3" t="s">
        <v>28</v>
      </c>
      <c r="AE1" s="3" t="s">
        <v>29</v>
      </c>
      <c r="AF1" s="3" t="s">
        <v>30</v>
      </c>
      <c r="AG1" s="3" t="s">
        <v>31</v>
      </c>
      <c r="AH1" s="3" t="s">
        <v>2263</v>
      </c>
      <c r="AI1" s="3" t="s">
        <v>32</v>
      </c>
      <c r="AJ1" s="3" t="s">
        <v>33</v>
      </c>
    </row>
    <row r="2" spans="1:36" x14ac:dyDescent="0.25">
      <c r="A2" s="5" t="s">
        <v>34</v>
      </c>
      <c r="B2" s="5" t="s">
        <v>35</v>
      </c>
      <c r="C2" s="5" t="s">
        <v>36</v>
      </c>
      <c r="D2" s="5" t="s">
        <v>37</v>
      </c>
      <c r="E2" s="5">
        <v>29.088941999999999</v>
      </c>
      <c r="F2" s="5">
        <v>2.2138260000000001</v>
      </c>
      <c r="G2" s="5">
        <v>2004</v>
      </c>
      <c r="I2" s="6" t="s">
        <v>38</v>
      </c>
      <c r="J2" s="6" t="s">
        <v>39</v>
      </c>
      <c r="L2" s="5">
        <v>9506</v>
      </c>
      <c r="M2" s="5">
        <v>1.7</v>
      </c>
      <c r="N2" s="5" t="s">
        <v>40</v>
      </c>
      <c r="T2" s="5" t="s">
        <v>41</v>
      </c>
      <c r="U2" s="5" t="s">
        <v>42</v>
      </c>
      <c r="V2" s="5" t="s">
        <v>43</v>
      </c>
      <c r="W2" s="5" t="s">
        <v>44</v>
      </c>
      <c r="AA2" s="5">
        <v>43</v>
      </c>
      <c r="AB2" s="5" t="s">
        <v>45</v>
      </c>
      <c r="AC2" s="5" t="s">
        <v>46</v>
      </c>
      <c r="AD2" s="5" t="s">
        <v>47</v>
      </c>
      <c r="AE2" s="5">
        <v>16</v>
      </c>
      <c r="AF2" s="5" t="s">
        <v>48</v>
      </c>
      <c r="AI2" s="5" t="s">
        <v>49</v>
      </c>
      <c r="AJ2" s="5" t="s">
        <v>50</v>
      </c>
    </row>
    <row r="3" spans="1:36" x14ac:dyDescent="0.25">
      <c r="A3" s="5" t="s">
        <v>51</v>
      </c>
      <c r="B3" s="5" t="s">
        <v>35</v>
      </c>
      <c r="C3" s="5" t="s">
        <v>36</v>
      </c>
      <c r="D3" s="5" t="s">
        <v>2466</v>
      </c>
      <c r="E3" s="5">
        <v>39.876933000000001</v>
      </c>
      <c r="F3" s="5">
        <v>-88.893360000000001</v>
      </c>
      <c r="G3" s="5" t="s">
        <v>52</v>
      </c>
      <c r="H3" s="5" t="s">
        <v>53</v>
      </c>
      <c r="I3" s="5" t="s">
        <v>54</v>
      </c>
      <c r="J3" s="5" t="s">
        <v>55</v>
      </c>
      <c r="L3" s="5">
        <v>221</v>
      </c>
      <c r="M3" s="5">
        <v>1.26</v>
      </c>
      <c r="N3" s="5" t="s">
        <v>40</v>
      </c>
      <c r="O3" s="5">
        <v>2400</v>
      </c>
      <c r="R3" s="5">
        <v>2500</v>
      </c>
      <c r="S3" s="5">
        <v>2600</v>
      </c>
      <c r="T3" s="5" t="s">
        <v>41</v>
      </c>
      <c r="U3" s="5" t="s">
        <v>56</v>
      </c>
      <c r="V3" s="5" t="s">
        <v>57</v>
      </c>
      <c r="W3" s="5" t="s">
        <v>44</v>
      </c>
      <c r="AA3" s="5">
        <v>11.6</v>
      </c>
      <c r="AB3" s="5" t="s">
        <v>58</v>
      </c>
      <c r="AC3" s="5" t="s">
        <v>2467</v>
      </c>
      <c r="AD3" s="5" t="s">
        <v>47</v>
      </c>
      <c r="AI3" s="5" t="s">
        <v>59</v>
      </c>
      <c r="AJ3" s="5" t="s">
        <v>60</v>
      </c>
    </row>
    <row r="4" spans="1:36" x14ac:dyDescent="0.25">
      <c r="A4" s="5" t="s">
        <v>51</v>
      </c>
      <c r="B4" s="5" t="s">
        <v>35</v>
      </c>
      <c r="C4" s="5" t="s">
        <v>36</v>
      </c>
      <c r="D4" s="5" t="s">
        <v>2468</v>
      </c>
      <c r="E4" s="5">
        <v>39.886287000000003</v>
      </c>
      <c r="F4" s="5">
        <v>-88.888080000000002</v>
      </c>
      <c r="G4" s="5" t="s">
        <v>2469</v>
      </c>
      <c r="L4" s="5" t="s">
        <v>2470</v>
      </c>
      <c r="M4" s="5">
        <v>1.2</v>
      </c>
      <c r="T4" s="5" t="s">
        <v>41</v>
      </c>
      <c r="V4" s="5">
        <v>2060</v>
      </c>
      <c r="W4" s="5" t="s">
        <v>44</v>
      </c>
      <c r="X4" s="5" t="s">
        <v>2471</v>
      </c>
      <c r="AA4" s="5" t="s">
        <v>2472</v>
      </c>
      <c r="AB4" s="5" t="s">
        <v>2088</v>
      </c>
      <c r="AC4" s="5" t="s">
        <v>2473</v>
      </c>
      <c r="AD4" s="5" t="s">
        <v>47</v>
      </c>
      <c r="AE4" s="5" t="s">
        <v>1956</v>
      </c>
      <c r="AI4" s="5" t="s">
        <v>2474</v>
      </c>
      <c r="AJ4" s="5" t="s">
        <v>2475</v>
      </c>
    </row>
    <row r="5" spans="1:36" x14ac:dyDescent="0.25">
      <c r="A5" s="5" t="s">
        <v>1760</v>
      </c>
      <c r="B5" s="5" t="s">
        <v>2219</v>
      </c>
      <c r="C5" s="5" t="s">
        <v>2220</v>
      </c>
      <c r="D5" s="5" t="s">
        <v>2221</v>
      </c>
      <c r="E5" s="5">
        <v>41.720332999999997</v>
      </c>
      <c r="F5" s="5">
        <v>44.826585000000001</v>
      </c>
      <c r="G5" s="5">
        <v>1960</v>
      </c>
      <c r="H5" s="5">
        <v>1991</v>
      </c>
      <c r="W5" s="5" t="s">
        <v>103</v>
      </c>
      <c r="AJ5" s="5" t="s">
        <v>1955</v>
      </c>
    </row>
    <row r="6" spans="1:36" x14ac:dyDescent="0.25">
      <c r="A6" s="5" t="s">
        <v>422</v>
      </c>
      <c r="B6" s="5" t="s">
        <v>423</v>
      </c>
      <c r="C6" s="5" t="s">
        <v>423</v>
      </c>
      <c r="D6" s="5" t="s">
        <v>424</v>
      </c>
      <c r="E6" s="5">
        <v>-22.586372999999998</v>
      </c>
      <c r="F6" s="5">
        <v>25.84591</v>
      </c>
      <c r="G6" s="5">
        <v>2014</v>
      </c>
      <c r="M6" s="5">
        <v>6.3</v>
      </c>
      <c r="N6" s="5" t="s">
        <v>40</v>
      </c>
      <c r="O6" s="5">
        <v>25200</v>
      </c>
      <c r="P6" s="7">
        <v>42828</v>
      </c>
      <c r="Q6" s="5">
        <v>2017</v>
      </c>
      <c r="V6" s="5">
        <v>450</v>
      </c>
      <c r="W6" s="5" t="s">
        <v>44</v>
      </c>
      <c r="AI6" s="5" t="s">
        <v>2222</v>
      </c>
      <c r="AJ6" s="5" t="s">
        <v>425</v>
      </c>
    </row>
    <row r="7" spans="1:36" x14ac:dyDescent="0.25">
      <c r="A7" s="5" t="s">
        <v>61</v>
      </c>
      <c r="B7" s="5" t="s">
        <v>62</v>
      </c>
      <c r="C7" s="5" t="s">
        <v>63</v>
      </c>
      <c r="D7" s="5" t="s">
        <v>64</v>
      </c>
      <c r="E7" s="5">
        <v>51.104297000000003</v>
      </c>
      <c r="F7" s="5">
        <v>1.271382</v>
      </c>
      <c r="G7" s="5">
        <v>1806</v>
      </c>
      <c r="M7" s="5">
        <v>4.2</v>
      </c>
      <c r="N7" s="5" t="s">
        <v>65</v>
      </c>
      <c r="O7" s="5">
        <v>500</v>
      </c>
      <c r="P7" s="7">
        <v>39200</v>
      </c>
      <c r="Q7" s="5">
        <v>2007</v>
      </c>
      <c r="T7" s="5" t="s">
        <v>66</v>
      </c>
      <c r="V7" s="5">
        <v>0</v>
      </c>
      <c r="W7" s="5" t="s">
        <v>44</v>
      </c>
      <c r="AC7" s="5">
        <v>2800000000</v>
      </c>
      <c r="AD7" s="5" t="s">
        <v>67</v>
      </c>
      <c r="AG7" s="5" t="s">
        <v>68</v>
      </c>
      <c r="AI7" s="5" t="s">
        <v>69</v>
      </c>
      <c r="AJ7" s="5" t="s">
        <v>70</v>
      </c>
    </row>
    <row r="8" spans="1:36" x14ac:dyDescent="0.25">
      <c r="A8" s="5" t="s">
        <v>153</v>
      </c>
      <c r="B8" s="5" t="s">
        <v>62</v>
      </c>
      <c r="C8" s="5" t="s">
        <v>2615</v>
      </c>
      <c r="D8" s="5" t="s">
        <v>2616</v>
      </c>
      <c r="E8" s="5">
        <v>30.265682000000002</v>
      </c>
      <c r="F8" s="5">
        <v>107.39424</v>
      </c>
      <c r="G8" s="5">
        <v>2014</v>
      </c>
      <c r="H8" s="5">
        <v>2014</v>
      </c>
      <c r="M8" s="5">
        <v>4.0999999999999996</v>
      </c>
      <c r="N8" s="5" t="s">
        <v>40</v>
      </c>
      <c r="O8" s="5">
        <v>1000</v>
      </c>
      <c r="P8" s="7">
        <v>42593</v>
      </c>
      <c r="Q8" s="5">
        <v>2016</v>
      </c>
      <c r="V8" s="5" t="s">
        <v>2617</v>
      </c>
      <c r="W8" s="5" t="s">
        <v>44</v>
      </c>
      <c r="AG8" s="5">
        <v>0.11</v>
      </c>
      <c r="AJ8" s="5" t="s">
        <v>2618</v>
      </c>
    </row>
    <row r="9" spans="1:36" x14ac:dyDescent="0.25">
      <c r="A9" s="5" t="s">
        <v>2881</v>
      </c>
      <c r="B9" s="5" t="s">
        <v>62</v>
      </c>
      <c r="C9" s="5" t="s">
        <v>2619</v>
      </c>
      <c r="D9" s="5" t="s">
        <v>71</v>
      </c>
      <c r="E9" s="5">
        <v>25.033985000000001</v>
      </c>
      <c r="F9" s="5">
        <v>121.56442</v>
      </c>
      <c r="L9" s="5" t="s">
        <v>72</v>
      </c>
      <c r="M9" s="5">
        <v>3.8</v>
      </c>
      <c r="N9" s="5" t="s">
        <v>65</v>
      </c>
      <c r="O9" s="5">
        <v>10000</v>
      </c>
      <c r="P9" s="7">
        <v>38283</v>
      </c>
      <c r="Q9" s="5">
        <v>2004</v>
      </c>
      <c r="R9" s="5">
        <v>0</v>
      </c>
      <c r="W9" s="5" t="s">
        <v>73</v>
      </c>
      <c r="AC9" s="5" t="s">
        <v>74</v>
      </c>
      <c r="AG9" s="5">
        <v>0.47</v>
      </c>
      <c r="AI9" s="5" t="s">
        <v>75</v>
      </c>
      <c r="AJ9" s="5" t="s">
        <v>2620</v>
      </c>
    </row>
    <row r="10" spans="1:36" x14ac:dyDescent="0.25">
      <c r="A10" s="5" t="s">
        <v>149</v>
      </c>
      <c r="B10" s="5" t="s">
        <v>77</v>
      </c>
      <c r="C10" s="5" t="s">
        <v>95</v>
      </c>
      <c r="D10" s="5" t="s">
        <v>2086</v>
      </c>
      <c r="E10" s="5">
        <v>52.995885999999999</v>
      </c>
      <c r="F10" s="5">
        <v>142.944659</v>
      </c>
      <c r="M10" s="5">
        <v>7.5</v>
      </c>
      <c r="N10" s="5" t="s">
        <v>81</v>
      </c>
      <c r="P10" s="7">
        <v>34846</v>
      </c>
      <c r="Q10" s="5">
        <v>1995</v>
      </c>
      <c r="V10" s="5" t="s">
        <v>875</v>
      </c>
      <c r="W10" s="5" t="s">
        <v>103</v>
      </c>
      <c r="AA10" s="5" t="s">
        <v>2087</v>
      </c>
      <c r="AB10" s="5" t="s">
        <v>2088</v>
      </c>
      <c r="AC10" s="5" t="s">
        <v>2089</v>
      </c>
      <c r="AD10" s="5" t="s">
        <v>2090</v>
      </c>
      <c r="AJ10" s="5" t="s">
        <v>2091</v>
      </c>
    </row>
    <row r="11" spans="1:36" x14ac:dyDescent="0.25">
      <c r="A11" s="5" t="s">
        <v>758</v>
      </c>
      <c r="B11" s="5" t="s">
        <v>77</v>
      </c>
      <c r="C11" s="5" t="s">
        <v>109</v>
      </c>
      <c r="D11" s="5" t="s">
        <v>2476</v>
      </c>
      <c r="E11" s="5">
        <v>41.027424000000003</v>
      </c>
      <c r="F11" s="5">
        <v>28.099757</v>
      </c>
      <c r="G11" s="5">
        <v>1997</v>
      </c>
      <c r="H11" s="5">
        <v>2003</v>
      </c>
      <c r="M11" s="5">
        <v>7.4</v>
      </c>
      <c r="P11" s="5">
        <v>1999</v>
      </c>
      <c r="Q11" s="5">
        <v>1999</v>
      </c>
      <c r="R11" s="5">
        <v>100000</v>
      </c>
      <c r="V11" s="5">
        <v>1200</v>
      </c>
      <c r="W11" s="5" t="s">
        <v>90</v>
      </c>
      <c r="AC11" s="5">
        <f>1.5*10^9</f>
        <v>1500000000</v>
      </c>
      <c r="AD11" s="5" t="s">
        <v>92</v>
      </c>
      <c r="AI11" s="5" t="s">
        <v>2477</v>
      </c>
      <c r="AJ11" s="5" t="s">
        <v>2478</v>
      </c>
    </row>
    <row r="12" spans="1:36" x14ac:dyDescent="0.25">
      <c r="A12" s="5" t="s">
        <v>76</v>
      </c>
      <c r="B12" s="5" t="s">
        <v>77</v>
      </c>
      <c r="C12" s="5" t="s">
        <v>78</v>
      </c>
      <c r="D12" s="5" t="s">
        <v>79</v>
      </c>
      <c r="E12" s="5">
        <v>40.216330999999997</v>
      </c>
      <c r="F12" s="5">
        <v>63.465234000000002</v>
      </c>
      <c r="G12" s="5">
        <v>1962</v>
      </c>
      <c r="I12" s="5">
        <v>1976</v>
      </c>
      <c r="J12" s="5">
        <v>1984</v>
      </c>
      <c r="L12" s="5" t="s">
        <v>80</v>
      </c>
      <c r="M12" s="5">
        <v>7.3</v>
      </c>
      <c r="N12" s="5" t="s">
        <v>81</v>
      </c>
      <c r="O12" s="5" t="s">
        <v>82</v>
      </c>
      <c r="P12" s="7">
        <v>27858</v>
      </c>
      <c r="Q12" s="5">
        <v>1976</v>
      </c>
      <c r="T12" s="5" t="s">
        <v>41</v>
      </c>
      <c r="V12" s="5" t="s">
        <v>83</v>
      </c>
      <c r="W12" s="5" t="s">
        <v>44</v>
      </c>
      <c r="AC12" s="5">
        <v>600000000000</v>
      </c>
      <c r="AD12" s="5" t="s">
        <v>67</v>
      </c>
      <c r="AF12" s="8" t="s">
        <v>84</v>
      </c>
      <c r="AG12" s="8">
        <v>-0.05</v>
      </c>
      <c r="AJ12" s="5" t="s">
        <v>85</v>
      </c>
    </row>
    <row r="13" spans="1:36" x14ac:dyDescent="0.25">
      <c r="A13" s="5" t="s">
        <v>51</v>
      </c>
      <c r="B13" s="5" t="s">
        <v>77</v>
      </c>
      <c r="C13" s="5" t="s">
        <v>86</v>
      </c>
      <c r="D13" s="5" t="s">
        <v>87</v>
      </c>
      <c r="E13" s="5">
        <v>36.138931999999997</v>
      </c>
      <c r="F13" s="5">
        <v>-120.3809</v>
      </c>
      <c r="G13" s="5" t="s">
        <v>88</v>
      </c>
      <c r="I13" s="5">
        <v>1983</v>
      </c>
      <c r="J13" s="5">
        <v>1985</v>
      </c>
      <c r="M13" s="5">
        <v>6.5</v>
      </c>
      <c r="N13" s="5" t="s">
        <v>65</v>
      </c>
      <c r="O13" s="5">
        <v>10000</v>
      </c>
      <c r="P13" s="5">
        <v>1983</v>
      </c>
      <c r="Q13" s="5">
        <v>1983</v>
      </c>
      <c r="R13" s="5">
        <v>0</v>
      </c>
      <c r="T13" s="5" t="s">
        <v>41</v>
      </c>
      <c r="U13" s="5" t="s">
        <v>89</v>
      </c>
      <c r="V13" s="5">
        <v>2000</v>
      </c>
      <c r="W13" s="5" t="s">
        <v>90</v>
      </c>
      <c r="AC13" s="5" t="s">
        <v>91</v>
      </c>
      <c r="AD13" s="5" t="s">
        <v>92</v>
      </c>
      <c r="AF13" s="8" t="s">
        <v>93</v>
      </c>
      <c r="AG13" s="8">
        <v>-0.02</v>
      </c>
      <c r="AI13" s="5" t="s">
        <v>94</v>
      </c>
      <c r="AJ13" s="5" t="s">
        <v>2424</v>
      </c>
    </row>
    <row r="14" spans="1:36" x14ac:dyDescent="0.25">
      <c r="A14" s="5" t="s">
        <v>51</v>
      </c>
      <c r="B14" s="5" t="s">
        <v>77</v>
      </c>
      <c r="C14" s="5" t="s">
        <v>95</v>
      </c>
      <c r="D14" s="5" t="s">
        <v>2479</v>
      </c>
      <c r="E14" s="5">
        <v>33.664999999999999</v>
      </c>
      <c r="F14" s="5">
        <v>-117.97499999999999</v>
      </c>
      <c r="G14" s="5" t="s">
        <v>2480</v>
      </c>
      <c r="M14" s="5">
        <v>6.4</v>
      </c>
      <c r="N14" s="5" t="s">
        <v>40</v>
      </c>
      <c r="O14" s="5">
        <v>13000</v>
      </c>
      <c r="P14" s="7">
        <v>12124</v>
      </c>
      <c r="Q14" s="5">
        <v>1933</v>
      </c>
      <c r="T14" s="5" t="s">
        <v>41</v>
      </c>
      <c r="V14" s="5" t="s">
        <v>2481</v>
      </c>
      <c r="W14" s="5" t="s">
        <v>90</v>
      </c>
      <c r="AA14" s="5">
        <f>(329*158.987295)/(60*60*24)</f>
        <v>0.60540300989583329</v>
      </c>
      <c r="AB14" s="5" t="s">
        <v>118</v>
      </c>
      <c r="AF14" s="8"/>
      <c r="AG14" s="8"/>
      <c r="AI14" s="5" t="s">
        <v>2482</v>
      </c>
      <c r="AJ14" s="5" t="s">
        <v>2483</v>
      </c>
    </row>
    <row r="15" spans="1:36" x14ac:dyDescent="0.25">
      <c r="A15" s="5" t="s">
        <v>51</v>
      </c>
      <c r="B15" s="5" t="s">
        <v>77</v>
      </c>
      <c r="C15" s="5" t="s">
        <v>86</v>
      </c>
      <c r="D15" s="5" t="s">
        <v>97</v>
      </c>
      <c r="E15" s="5">
        <v>36.030090999999999</v>
      </c>
      <c r="F15" s="5">
        <v>-120.07280799999999</v>
      </c>
      <c r="G15" s="5">
        <v>1928</v>
      </c>
      <c r="M15" s="5">
        <v>6.1</v>
      </c>
      <c r="N15" s="5" t="s">
        <v>40</v>
      </c>
      <c r="O15" s="5">
        <v>11400</v>
      </c>
      <c r="P15" s="5">
        <v>1985</v>
      </c>
      <c r="Q15" s="5">
        <v>1985</v>
      </c>
      <c r="R15" s="5">
        <v>2500</v>
      </c>
      <c r="T15" s="5" t="s">
        <v>41</v>
      </c>
      <c r="V15" s="5" t="s">
        <v>98</v>
      </c>
      <c r="W15" s="5" t="s">
        <v>90</v>
      </c>
      <c r="AC15" s="5" t="s">
        <v>99</v>
      </c>
      <c r="AD15" s="5" t="s">
        <v>92</v>
      </c>
      <c r="AE15" s="9"/>
      <c r="AG15" s="5">
        <v>-0.01</v>
      </c>
      <c r="AI15" s="5" t="s">
        <v>94</v>
      </c>
      <c r="AJ15" s="5" t="s">
        <v>100</v>
      </c>
    </row>
    <row r="16" spans="1:36" x14ac:dyDescent="0.25">
      <c r="A16" s="5" t="s">
        <v>101</v>
      </c>
      <c r="B16" s="5" t="s">
        <v>77</v>
      </c>
      <c r="C16" s="5" t="s">
        <v>86</v>
      </c>
      <c r="D16" s="5" t="s">
        <v>102</v>
      </c>
      <c r="E16" s="5">
        <v>39.449309999999997</v>
      </c>
      <c r="F16" s="5">
        <v>53.640653</v>
      </c>
      <c r="M16" s="5">
        <v>6</v>
      </c>
      <c r="P16" s="5">
        <v>1984</v>
      </c>
      <c r="Q16" s="5">
        <v>1984</v>
      </c>
      <c r="W16" s="5" t="s">
        <v>103</v>
      </c>
      <c r="AJ16" s="5" t="s">
        <v>2425</v>
      </c>
    </row>
    <row r="17" spans="1:36" x14ac:dyDescent="0.25">
      <c r="A17" s="5" t="s">
        <v>51</v>
      </c>
      <c r="B17" s="5" t="s">
        <v>77</v>
      </c>
      <c r="C17" s="5" t="s">
        <v>86</v>
      </c>
      <c r="D17" s="5" t="s">
        <v>105</v>
      </c>
      <c r="E17" s="5">
        <v>34.053396999999997</v>
      </c>
      <c r="F17" s="5">
        <v>-118.085166</v>
      </c>
      <c r="G17" s="5">
        <v>1917</v>
      </c>
      <c r="I17" s="5">
        <v>1987</v>
      </c>
      <c r="M17" s="5">
        <v>5.9</v>
      </c>
      <c r="N17" s="5" t="s">
        <v>65</v>
      </c>
      <c r="O17" s="5">
        <v>14600</v>
      </c>
      <c r="P17" s="5">
        <v>1987</v>
      </c>
      <c r="Q17" s="5">
        <v>1987</v>
      </c>
      <c r="R17" s="5">
        <v>1600</v>
      </c>
      <c r="T17" s="5" t="s">
        <v>41</v>
      </c>
      <c r="V17" s="5" t="s">
        <v>98</v>
      </c>
      <c r="W17" s="5" t="s">
        <v>90</v>
      </c>
      <c r="AC17" s="5" t="s">
        <v>106</v>
      </c>
      <c r="AD17" s="5" t="s">
        <v>92</v>
      </c>
      <c r="AG17" s="5">
        <v>-0.01</v>
      </c>
      <c r="AI17" s="5" t="s">
        <v>94</v>
      </c>
      <c r="AJ17" s="5" t="s">
        <v>107</v>
      </c>
    </row>
    <row r="18" spans="1:36" x14ac:dyDescent="0.25">
      <c r="A18" s="5" t="s">
        <v>1754</v>
      </c>
      <c r="B18" s="5" t="s">
        <v>77</v>
      </c>
      <c r="C18" s="5" t="s">
        <v>2562</v>
      </c>
      <c r="D18" s="5" t="s">
        <v>2563</v>
      </c>
      <c r="E18" s="5">
        <v>27.711124999999999</v>
      </c>
      <c r="F18" s="5">
        <v>53.202997000000003</v>
      </c>
      <c r="G18" s="5" t="s">
        <v>2564</v>
      </c>
      <c r="I18" s="5" t="s">
        <v>2565</v>
      </c>
      <c r="L18" s="5" t="s">
        <v>2566</v>
      </c>
      <c r="M18" s="5">
        <v>5.7</v>
      </c>
      <c r="N18" s="5" t="s">
        <v>40</v>
      </c>
      <c r="O18" s="5" t="s">
        <v>714</v>
      </c>
      <c r="P18" s="7">
        <v>43991</v>
      </c>
      <c r="Q18" s="5">
        <v>2020</v>
      </c>
      <c r="T18" s="5" t="s">
        <v>116</v>
      </c>
      <c r="U18" s="5" t="s">
        <v>1819</v>
      </c>
      <c r="V18" s="5" t="s">
        <v>437</v>
      </c>
      <c r="W18" s="5" t="s">
        <v>73</v>
      </c>
      <c r="AA18" s="5">
        <f>35000000</f>
        <v>35000000</v>
      </c>
      <c r="AB18" s="5" t="s">
        <v>2567</v>
      </c>
      <c r="AI18" s="5" t="s">
        <v>2568</v>
      </c>
      <c r="AJ18" s="5" t="s">
        <v>2569</v>
      </c>
    </row>
    <row r="19" spans="1:36" x14ac:dyDescent="0.25">
      <c r="A19" s="5" t="s">
        <v>108</v>
      </c>
      <c r="B19" s="5" t="s">
        <v>77</v>
      </c>
      <c r="C19" s="5" t="s">
        <v>109</v>
      </c>
      <c r="D19" s="5" t="s">
        <v>110</v>
      </c>
      <c r="E19" s="5">
        <v>45.272112</v>
      </c>
      <c r="F19" s="5">
        <v>9.5725840000000009</v>
      </c>
      <c r="G19" s="5">
        <v>1946</v>
      </c>
      <c r="M19" s="5">
        <v>5.5</v>
      </c>
      <c r="N19" s="5" t="s">
        <v>65</v>
      </c>
      <c r="O19" s="5">
        <v>1500</v>
      </c>
      <c r="P19" s="7">
        <v>18763</v>
      </c>
      <c r="Q19" s="5">
        <v>1951</v>
      </c>
      <c r="V19" s="5">
        <v>500</v>
      </c>
      <c r="W19" s="5" t="s">
        <v>73</v>
      </c>
      <c r="AI19" s="5" t="s">
        <v>111</v>
      </c>
      <c r="AJ19" s="5" t="s">
        <v>112</v>
      </c>
    </row>
    <row r="20" spans="1:36" x14ac:dyDescent="0.25">
      <c r="A20" s="5" t="s">
        <v>51</v>
      </c>
      <c r="B20" s="5" t="s">
        <v>77</v>
      </c>
      <c r="C20" s="5" t="s">
        <v>113</v>
      </c>
      <c r="D20" s="5" t="s">
        <v>114</v>
      </c>
      <c r="E20" s="5">
        <v>32.954945000000002</v>
      </c>
      <c r="F20" s="5">
        <v>-100.88532600000001</v>
      </c>
      <c r="G20" s="5" t="s">
        <v>115</v>
      </c>
      <c r="H20" s="5">
        <v>1982</v>
      </c>
      <c r="I20" s="6">
        <v>27355</v>
      </c>
      <c r="J20" s="5">
        <v>1982</v>
      </c>
      <c r="M20" s="5">
        <v>5.3</v>
      </c>
      <c r="N20" s="5" t="s">
        <v>65</v>
      </c>
      <c r="O20" s="5">
        <v>3000</v>
      </c>
      <c r="P20" s="7">
        <v>28657</v>
      </c>
      <c r="Q20" s="5">
        <v>1978</v>
      </c>
      <c r="T20" s="5" t="s">
        <v>116</v>
      </c>
      <c r="U20" s="5">
        <v>1900</v>
      </c>
      <c r="V20" s="5">
        <v>2100</v>
      </c>
      <c r="W20" s="5" t="s">
        <v>44</v>
      </c>
      <c r="AA20" s="5" t="s">
        <v>117</v>
      </c>
      <c r="AB20" s="5" t="s">
        <v>118</v>
      </c>
      <c r="AC20" s="5" t="s">
        <v>119</v>
      </c>
      <c r="AD20" s="5" t="s">
        <v>92</v>
      </c>
      <c r="AE20" s="10">
        <v>43</v>
      </c>
      <c r="AF20" s="11" t="s">
        <v>120</v>
      </c>
      <c r="AG20" s="11"/>
      <c r="AJ20" s="5" t="s">
        <v>2484</v>
      </c>
    </row>
    <row r="21" spans="1:36" x14ac:dyDescent="0.25">
      <c r="A21" s="5" t="s">
        <v>51</v>
      </c>
      <c r="B21" s="5" t="s">
        <v>77</v>
      </c>
      <c r="C21" s="5" t="s">
        <v>109</v>
      </c>
      <c r="D21" s="5" t="s">
        <v>121</v>
      </c>
      <c r="E21" s="5">
        <v>35.529884000000003</v>
      </c>
      <c r="F21" s="5">
        <v>-97.958510000000004</v>
      </c>
      <c r="G21" s="5" t="s">
        <v>122</v>
      </c>
      <c r="I21" s="5">
        <v>1918</v>
      </c>
      <c r="J21" s="5">
        <v>1979</v>
      </c>
      <c r="M21" s="5">
        <v>5.2</v>
      </c>
      <c r="N21" s="5" t="s">
        <v>65</v>
      </c>
      <c r="P21" s="5">
        <v>1952</v>
      </c>
      <c r="Q21" s="5">
        <v>1952</v>
      </c>
      <c r="W21" s="5" t="s">
        <v>44</v>
      </c>
      <c r="AJ21" s="5" t="s">
        <v>96</v>
      </c>
    </row>
    <row r="22" spans="1:36" x14ac:dyDescent="0.25">
      <c r="A22" s="5" t="s">
        <v>51</v>
      </c>
      <c r="B22" s="5" t="s">
        <v>77</v>
      </c>
      <c r="C22" s="5" t="s">
        <v>86</v>
      </c>
      <c r="D22" s="5" t="s">
        <v>2485</v>
      </c>
      <c r="E22" s="5">
        <v>35.951714000000003</v>
      </c>
      <c r="F22" s="5">
        <v>-120.856464</v>
      </c>
      <c r="M22" s="5">
        <v>5.2</v>
      </c>
      <c r="N22" s="5" t="s">
        <v>65</v>
      </c>
      <c r="P22" s="5">
        <v>1955</v>
      </c>
      <c r="Q22" s="5">
        <v>1955</v>
      </c>
      <c r="R22" s="5">
        <v>6000</v>
      </c>
      <c r="S22" s="5">
        <v>24000</v>
      </c>
      <c r="U22" s="5" t="s">
        <v>2486</v>
      </c>
      <c r="V22" s="5">
        <v>800</v>
      </c>
      <c r="W22" s="5" t="s">
        <v>90</v>
      </c>
      <c r="AJ22" s="5" t="s">
        <v>2487</v>
      </c>
    </row>
    <row r="23" spans="1:36" x14ac:dyDescent="0.25">
      <c r="A23" s="5" t="s">
        <v>51</v>
      </c>
      <c r="B23" s="5" t="s">
        <v>77</v>
      </c>
      <c r="C23" s="5" t="s">
        <v>95</v>
      </c>
      <c r="D23" s="5" t="s">
        <v>2223</v>
      </c>
      <c r="E23" s="5">
        <v>33.835000000000001</v>
      </c>
      <c r="F23" s="5">
        <v>-118.316</v>
      </c>
      <c r="M23" s="5">
        <v>5.0999999999999996</v>
      </c>
      <c r="N23" s="5" t="s">
        <v>40</v>
      </c>
      <c r="P23" s="7">
        <v>15294</v>
      </c>
      <c r="Q23" s="5">
        <v>1941</v>
      </c>
      <c r="W23" s="5" t="s">
        <v>90</v>
      </c>
      <c r="Z23" s="5">
        <v>26.56</v>
      </c>
      <c r="AC23" s="5">
        <f>0.02*10^9</f>
        <v>20000000</v>
      </c>
      <c r="AD23" s="5" t="s">
        <v>92</v>
      </c>
      <c r="AI23" s="5" t="s">
        <v>2224</v>
      </c>
      <c r="AJ23" s="5" t="s">
        <v>2225</v>
      </c>
    </row>
    <row r="24" spans="1:36" x14ac:dyDescent="0.25">
      <c r="A24" s="5" t="s">
        <v>51</v>
      </c>
      <c r="B24" s="5" t="s">
        <v>77</v>
      </c>
      <c r="C24" s="5" t="s">
        <v>95</v>
      </c>
      <c r="D24" s="5" t="s">
        <v>126</v>
      </c>
      <c r="E24" s="5">
        <v>33.780669000000003</v>
      </c>
      <c r="F24" s="5">
        <v>-118.218868</v>
      </c>
      <c r="G24" s="5">
        <v>1928</v>
      </c>
      <c r="I24" s="5">
        <v>1947</v>
      </c>
      <c r="J24" s="5">
        <v>1961</v>
      </c>
      <c r="M24" s="5">
        <v>5.0999999999999996</v>
      </c>
      <c r="N24" s="5" t="s">
        <v>65</v>
      </c>
      <c r="P24" s="5">
        <v>1949</v>
      </c>
      <c r="Q24" s="5">
        <v>1949</v>
      </c>
      <c r="T24" s="5" t="s">
        <v>41</v>
      </c>
      <c r="W24" s="5" t="s">
        <v>90</v>
      </c>
      <c r="AJ24" s="5" t="s">
        <v>96</v>
      </c>
    </row>
    <row r="25" spans="1:36" x14ac:dyDescent="0.25">
      <c r="A25" s="5" t="s">
        <v>123</v>
      </c>
      <c r="B25" s="5" t="s">
        <v>77</v>
      </c>
      <c r="C25" s="5" t="s">
        <v>113</v>
      </c>
      <c r="D25" s="5" t="s">
        <v>124</v>
      </c>
      <c r="E25" s="5">
        <v>55.118850999999999</v>
      </c>
      <c r="F25" s="5">
        <v>-116.70466399999999</v>
      </c>
      <c r="G25" s="5">
        <v>1963</v>
      </c>
      <c r="I25" s="5">
        <v>1970</v>
      </c>
      <c r="M25" s="5">
        <v>5.0999999999999996</v>
      </c>
      <c r="N25" s="5" t="s">
        <v>65</v>
      </c>
      <c r="P25" s="7">
        <v>25635</v>
      </c>
      <c r="Q25" s="5">
        <v>1970</v>
      </c>
      <c r="T25" s="5" t="s">
        <v>116</v>
      </c>
      <c r="W25" s="5" t="s">
        <v>44</v>
      </c>
      <c r="AJ25" s="5" t="s">
        <v>125</v>
      </c>
    </row>
    <row r="26" spans="1:36" x14ac:dyDescent="0.25">
      <c r="A26" s="5" t="s">
        <v>51</v>
      </c>
      <c r="B26" s="5" t="s">
        <v>77</v>
      </c>
      <c r="C26" s="5" t="s">
        <v>95</v>
      </c>
      <c r="D26" s="5" t="s">
        <v>127</v>
      </c>
      <c r="E26" s="5">
        <v>33.947926000000002</v>
      </c>
      <c r="F26" s="5">
        <v>-118.44006</v>
      </c>
      <c r="M26" s="5">
        <v>5.0999999999999996</v>
      </c>
      <c r="N26" s="5" t="s">
        <v>40</v>
      </c>
      <c r="P26" s="7">
        <v>11200</v>
      </c>
      <c r="Q26" s="5">
        <v>1930</v>
      </c>
      <c r="W26" s="5" t="s">
        <v>90</v>
      </c>
      <c r="AJ26" s="5" t="s">
        <v>2426</v>
      </c>
    </row>
    <row r="27" spans="1:36" x14ac:dyDescent="0.25">
      <c r="A27" s="5" t="s">
        <v>51</v>
      </c>
      <c r="B27" s="5" t="s">
        <v>77</v>
      </c>
      <c r="C27" s="5" t="s">
        <v>161</v>
      </c>
      <c r="D27" s="5" t="s">
        <v>2092</v>
      </c>
      <c r="E27" s="5">
        <v>35.700000000000003</v>
      </c>
      <c r="F27" s="5">
        <v>-101.4</v>
      </c>
      <c r="G27" s="5">
        <v>1918</v>
      </c>
      <c r="M27" s="5">
        <v>5</v>
      </c>
      <c r="N27" s="5" t="s">
        <v>933</v>
      </c>
      <c r="P27" s="7">
        <v>13321</v>
      </c>
      <c r="Q27" s="5">
        <v>1936</v>
      </c>
      <c r="W27" s="5" t="s">
        <v>44</v>
      </c>
      <c r="AC27" s="5" t="s">
        <v>2093</v>
      </c>
      <c r="AD27" s="5" t="s">
        <v>92</v>
      </c>
      <c r="AI27" s="5" t="s">
        <v>2488</v>
      </c>
      <c r="AJ27" s="5" t="s">
        <v>2489</v>
      </c>
    </row>
    <row r="28" spans="1:36" x14ac:dyDescent="0.25">
      <c r="A28" s="5" t="s">
        <v>51</v>
      </c>
      <c r="B28" s="5" t="s">
        <v>77</v>
      </c>
      <c r="C28" s="5" t="s">
        <v>161</v>
      </c>
      <c r="D28" s="5" t="s">
        <v>2427</v>
      </c>
      <c r="E28" s="5">
        <v>33.966999999999999</v>
      </c>
      <c r="F28" s="5">
        <v>-118.383</v>
      </c>
      <c r="G28" s="5" t="s">
        <v>2428</v>
      </c>
      <c r="M28" s="5">
        <v>5</v>
      </c>
      <c r="N28" s="5" t="s">
        <v>40</v>
      </c>
      <c r="O28" s="5">
        <v>2000</v>
      </c>
      <c r="P28" s="7">
        <v>7479</v>
      </c>
      <c r="Q28" s="5">
        <v>1920</v>
      </c>
      <c r="R28" s="5" t="s">
        <v>181</v>
      </c>
      <c r="T28" s="5" t="s">
        <v>41</v>
      </c>
      <c r="V28" s="5" t="s">
        <v>2429</v>
      </c>
      <c r="W28" s="5" t="s">
        <v>90</v>
      </c>
      <c r="AI28" s="5" t="s">
        <v>2430</v>
      </c>
      <c r="AJ28" s="5" t="s">
        <v>2426</v>
      </c>
    </row>
    <row r="29" spans="1:36" x14ac:dyDescent="0.25">
      <c r="A29" s="5" t="s">
        <v>2621</v>
      </c>
      <c r="B29" s="5" t="s">
        <v>77</v>
      </c>
      <c r="C29" s="5" t="s">
        <v>2622</v>
      </c>
      <c r="D29" s="5" t="s">
        <v>2623</v>
      </c>
      <c r="E29" s="5">
        <v>-46.4529</v>
      </c>
      <c r="F29" s="5">
        <v>-69.019599999999997</v>
      </c>
      <c r="M29" s="5">
        <v>4.9000000000000004</v>
      </c>
      <c r="N29" s="5" t="s">
        <v>40</v>
      </c>
      <c r="O29" s="5">
        <v>1170</v>
      </c>
      <c r="P29" s="7">
        <v>43755</v>
      </c>
      <c r="Q29" s="5">
        <v>2019</v>
      </c>
      <c r="V29" s="5">
        <v>1500</v>
      </c>
      <c r="W29" s="5" t="s">
        <v>44</v>
      </c>
      <c r="AI29" s="5" t="s">
        <v>2624</v>
      </c>
      <c r="AJ29" s="5" t="s">
        <v>2625</v>
      </c>
    </row>
    <row r="30" spans="1:36" x14ac:dyDescent="0.25">
      <c r="A30" s="5" t="s">
        <v>51</v>
      </c>
      <c r="B30" s="5" t="s">
        <v>77</v>
      </c>
      <c r="C30" s="5" t="s">
        <v>95</v>
      </c>
      <c r="D30" s="5" t="s">
        <v>134</v>
      </c>
      <c r="E30" s="5">
        <v>38.714345000000002</v>
      </c>
      <c r="F30" s="5">
        <v>-88.093288000000001</v>
      </c>
      <c r="G30" s="5">
        <v>1952</v>
      </c>
      <c r="I30" s="5">
        <v>1987</v>
      </c>
      <c r="M30" s="5">
        <v>4.9000000000000004</v>
      </c>
      <c r="N30" s="5" t="s">
        <v>65</v>
      </c>
      <c r="P30" s="5">
        <v>1987</v>
      </c>
      <c r="Q30" s="5">
        <v>1987</v>
      </c>
      <c r="W30" s="5" t="s">
        <v>44</v>
      </c>
      <c r="AJ30" s="5" t="s">
        <v>96</v>
      </c>
    </row>
    <row r="31" spans="1:36" x14ac:dyDescent="0.25">
      <c r="A31" s="5" t="s">
        <v>51</v>
      </c>
      <c r="B31" s="5" t="s">
        <v>77</v>
      </c>
      <c r="C31" s="5" t="s">
        <v>86</v>
      </c>
      <c r="D31" s="5" t="s">
        <v>128</v>
      </c>
      <c r="E31" s="5">
        <v>31.071981000000001</v>
      </c>
      <c r="F31" s="5">
        <v>-87.362886000000003</v>
      </c>
      <c r="G31" s="5">
        <v>1975</v>
      </c>
      <c r="I31" s="6">
        <v>35554</v>
      </c>
      <c r="L31" s="5" t="s">
        <v>129</v>
      </c>
      <c r="M31" s="5">
        <v>4.9000000000000004</v>
      </c>
      <c r="N31" s="5" t="s">
        <v>40</v>
      </c>
      <c r="O31" s="5">
        <v>4500</v>
      </c>
      <c r="P31" s="7">
        <v>35727</v>
      </c>
      <c r="Q31" s="5">
        <v>1997</v>
      </c>
      <c r="S31" s="5">
        <v>5000</v>
      </c>
      <c r="T31" s="5" t="s">
        <v>130</v>
      </c>
      <c r="U31" s="5" t="s">
        <v>131</v>
      </c>
      <c r="V31" s="5" t="s">
        <v>132</v>
      </c>
      <c r="W31" s="5" t="s">
        <v>44</v>
      </c>
      <c r="AC31" s="5">
        <v>568000000000</v>
      </c>
      <c r="AD31" s="5" t="s">
        <v>67</v>
      </c>
      <c r="AE31" s="5">
        <v>10</v>
      </c>
      <c r="AJ31" s="5" t="s">
        <v>133</v>
      </c>
    </row>
    <row r="32" spans="1:36" x14ac:dyDescent="0.25">
      <c r="A32" s="5" t="s">
        <v>51</v>
      </c>
      <c r="B32" s="5" t="s">
        <v>77</v>
      </c>
      <c r="C32" s="5" t="s">
        <v>109</v>
      </c>
      <c r="D32" s="5" t="s">
        <v>135</v>
      </c>
      <c r="E32" s="5">
        <v>28.793292999999998</v>
      </c>
      <c r="F32" s="5">
        <v>-98.137084999999999</v>
      </c>
      <c r="G32" s="5">
        <v>1958</v>
      </c>
      <c r="I32" s="6">
        <v>27023</v>
      </c>
      <c r="M32" s="5">
        <v>4.8</v>
      </c>
      <c r="N32" s="5" t="s">
        <v>40</v>
      </c>
      <c r="P32" s="7">
        <v>40836</v>
      </c>
      <c r="Q32" s="5">
        <v>2011</v>
      </c>
      <c r="T32" s="5" t="s">
        <v>116</v>
      </c>
      <c r="V32" s="5">
        <v>3200</v>
      </c>
      <c r="W32" s="5" t="s">
        <v>44</v>
      </c>
      <c r="AC32" s="5" t="s">
        <v>136</v>
      </c>
      <c r="AD32" s="5" t="s">
        <v>92</v>
      </c>
      <c r="AF32" s="8" t="s">
        <v>137</v>
      </c>
      <c r="AG32" s="8"/>
      <c r="AJ32" s="5" t="s">
        <v>138</v>
      </c>
    </row>
    <row r="33" spans="1:36" x14ac:dyDescent="0.25">
      <c r="A33" s="5" t="s">
        <v>51</v>
      </c>
      <c r="B33" s="5" t="s">
        <v>77</v>
      </c>
      <c r="C33" s="5" t="s">
        <v>95</v>
      </c>
      <c r="D33" s="5" t="s">
        <v>2226</v>
      </c>
      <c r="E33" s="5">
        <v>33.872999999999998</v>
      </c>
      <c r="F33" s="5">
        <v>-118.261</v>
      </c>
      <c r="G33" s="5">
        <v>1923</v>
      </c>
      <c r="I33" s="6"/>
      <c r="M33" s="5">
        <v>4.7</v>
      </c>
      <c r="N33" s="5" t="s">
        <v>40</v>
      </c>
      <c r="P33" s="7">
        <v>15271</v>
      </c>
      <c r="Q33" s="5">
        <v>1941</v>
      </c>
      <c r="V33" s="5" t="s">
        <v>2227</v>
      </c>
      <c r="W33" s="5" t="s">
        <v>90</v>
      </c>
      <c r="Z33" s="5">
        <v>4.6399999999999997</v>
      </c>
      <c r="AC33" s="5">
        <f>0.03*10^9</f>
        <v>30000000</v>
      </c>
      <c r="AD33" s="5" t="s">
        <v>92</v>
      </c>
      <c r="AF33" s="8"/>
      <c r="AG33" s="8"/>
      <c r="AJ33" s="5" t="s">
        <v>2225</v>
      </c>
    </row>
    <row r="34" spans="1:36" x14ac:dyDescent="0.25">
      <c r="A34" s="5" t="s">
        <v>51</v>
      </c>
      <c r="B34" s="5" t="s">
        <v>77</v>
      </c>
      <c r="C34" s="5" t="s">
        <v>95</v>
      </c>
      <c r="D34" s="5" t="s">
        <v>148</v>
      </c>
      <c r="E34" s="5">
        <v>33.941445999999999</v>
      </c>
      <c r="F34" s="5">
        <v>-118.06233899999999</v>
      </c>
      <c r="I34" s="6">
        <v>8741</v>
      </c>
      <c r="M34" s="5">
        <v>4.7</v>
      </c>
      <c r="N34" s="5" t="s">
        <v>40</v>
      </c>
      <c r="P34" s="7">
        <v>10782</v>
      </c>
      <c r="Q34" s="5">
        <v>1929</v>
      </c>
      <c r="W34" s="5" t="s">
        <v>90</v>
      </c>
      <c r="AF34" s="8"/>
      <c r="AG34" s="8"/>
      <c r="AJ34" s="5" t="s">
        <v>2426</v>
      </c>
    </row>
    <row r="35" spans="1:36" x14ac:dyDescent="0.25">
      <c r="A35" s="5" t="s">
        <v>51</v>
      </c>
      <c r="B35" s="5" t="s">
        <v>77</v>
      </c>
      <c r="C35" s="5" t="s">
        <v>86</v>
      </c>
      <c r="D35" s="5" t="s">
        <v>145</v>
      </c>
      <c r="E35" s="5">
        <v>32.544418</v>
      </c>
      <c r="F35" s="5">
        <v>-94.936350000000004</v>
      </c>
      <c r="G35" s="5">
        <v>1942</v>
      </c>
      <c r="I35" s="5">
        <v>1957</v>
      </c>
      <c r="M35" s="5">
        <v>4.7</v>
      </c>
      <c r="O35" s="5">
        <v>1000</v>
      </c>
      <c r="P35" s="7">
        <v>20898</v>
      </c>
      <c r="Q35" s="5">
        <v>1957</v>
      </c>
      <c r="T35" s="5" t="s">
        <v>41</v>
      </c>
      <c r="W35" s="5" t="s">
        <v>44</v>
      </c>
      <c r="AC35" s="5">
        <f>3500000000/6.29</f>
        <v>556438791.73290932</v>
      </c>
      <c r="AD35" s="5" t="s">
        <v>92</v>
      </c>
      <c r="AE35" s="5">
        <v>10</v>
      </c>
      <c r="AF35" s="8" t="s">
        <v>146</v>
      </c>
      <c r="AG35" s="8"/>
      <c r="AJ35" s="5" t="s">
        <v>147</v>
      </c>
    </row>
    <row r="36" spans="1:36" x14ac:dyDescent="0.25">
      <c r="A36" s="5" t="s">
        <v>149</v>
      </c>
      <c r="B36" s="5" t="s">
        <v>77</v>
      </c>
      <c r="C36" s="5" t="s">
        <v>95</v>
      </c>
      <c r="D36" s="5" t="s">
        <v>150</v>
      </c>
      <c r="E36" s="5">
        <v>43.371811999999998</v>
      </c>
      <c r="F36" s="5">
        <v>45.446129999999997</v>
      </c>
      <c r="G36" s="5">
        <v>1963</v>
      </c>
      <c r="L36" s="5">
        <v>20</v>
      </c>
      <c r="M36" s="5">
        <v>4.7</v>
      </c>
      <c r="N36" s="5" t="s">
        <v>65</v>
      </c>
      <c r="P36" s="7">
        <v>26018</v>
      </c>
      <c r="Q36" s="5">
        <v>1971</v>
      </c>
      <c r="U36" s="10" t="s">
        <v>151</v>
      </c>
      <c r="V36" s="5">
        <v>4000</v>
      </c>
      <c r="W36" s="5" t="s">
        <v>44</v>
      </c>
      <c r="AJ36" s="5" t="s">
        <v>104</v>
      </c>
    </row>
    <row r="37" spans="1:36" x14ac:dyDescent="0.25">
      <c r="A37" s="5" t="s">
        <v>139</v>
      </c>
      <c r="B37" s="5" t="s">
        <v>77</v>
      </c>
      <c r="C37" s="5" t="s">
        <v>140</v>
      </c>
      <c r="D37" s="5" t="s">
        <v>141</v>
      </c>
      <c r="E37" s="5">
        <v>28.88</v>
      </c>
      <c r="F37" s="5">
        <v>47.64</v>
      </c>
      <c r="L37" s="5" t="s">
        <v>142</v>
      </c>
      <c r="M37" s="5">
        <v>4.7</v>
      </c>
      <c r="O37" s="5">
        <v>20000</v>
      </c>
      <c r="P37" s="7">
        <v>34122</v>
      </c>
      <c r="Q37" s="5">
        <v>1993</v>
      </c>
      <c r="T37" s="5" t="s">
        <v>116</v>
      </c>
      <c r="U37" s="5" t="s">
        <v>143</v>
      </c>
      <c r="W37" s="5" t="s">
        <v>44</v>
      </c>
      <c r="AJ37" s="5" t="s">
        <v>144</v>
      </c>
    </row>
    <row r="38" spans="1:36" x14ac:dyDescent="0.25">
      <c r="A38" s="5" t="s">
        <v>51</v>
      </c>
      <c r="B38" s="5" t="s">
        <v>77</v>
      </c>
      <c r="C38" s="5" t="s">
        <v>109</v>
      </c>
      <c r="D38" s="5" t="s">
        <v>152</v>
      </c>
      <c r="E38" s="5">
        <v>36.188634</v>
      </c>
      <c r="F38" s="5">
        <v>-95.744361999999995</v>
      </c>
      <c r="G38" s="5">
        <v>1941</v>
      </c>
      <c r="I38" s="5">
        <v>1956</v>
      </c>
      <c r="J38" s="5">
        <v>1960</v>
      </c>
      <c r="M38" s="5">
        <v>4.7</v>
      </c>
      <c r="N38" s="5" t="s">
        <v>65</v>
      </c>
      <c r="W38" s="5" t="s">
        <v>44</v>
      </c>
      <c r="AJ38" s="5" t="s">
        <v>96</v>
      </c>
    </row>
    <row r="39" spans="1:36" x14ac:dyDescent="0.25">
      <c r="A39" s="5" t="s">
        <v>153</v>
      </c>
      <c r="B39" s="5" t="s">
        <v>77</v>
      </c>
      <c r="C39" s="5" t="s">
        <v>113</v>
      </c>
      <c r="D39" s="5" t="s">
        <v>154</v>
      </c>
      <c r="E39" s="5">
        <v>38.776653000000003</v>
      </c>
      <c r="F39" s="5">
        <v>116.05422799999999</v>
      </c>
      <c r="G39" s="5" t="s">
        <v>155</v>
      </c>
      <c r="I39" s="5" t="s">
        <v>156</v>
      </c>
      <c r="L39" s="5" t="s">
        <v>157</v>
      </c>
      <c r="M39" s="5">
        <v>4.5</v>
      </c>
      <c r="N39" s="5" t="s">
        <v>65</v>
      </c>
      <c r="P39" s="7">
        <v>31930</v>
      </c>
      <c r="Q39" s="5">
        <v>1987</v>
      </c>
      <c r="T39" s="5" t="s">
        <v>116</v>
      </c>
      <c r="U39" s="5" t="s">
        <v>158</v>
      </c>
      <c r="V39" s="5" t="s">
        <v>159</v>
      </c>
      <c r="W39" s="5" t="s">
        <v>44</v>
      </c>
      <c r="AA39" s="5">
        <v>3.5</v>
      </c>
      <c r="AB39" s="5" t="s">
        <v>118</v>
      </c>
      <c r="AC39" s="5" t="s">
        <v>160</v>
      </c>
      <c r="AD39" s="5" t="s">
        <v>92</v>
      </c>
      <c r="AE39" s="5">
        <v>43.26</v>
      </c>
      <c r="AJ39" s="5" t="s">
        <v>2626</v>
      </c>
    </row>
    <row r="40" spans="1:36" x14ac:dyDescent="0.25">
      <c r="A40" s="5" t="s">
        <v>149</v>
      </c>
      <c r="B40" s="5" t="s">
        <v>77</v>
      </c>
      <c r="C40" s="5" t="s">
        <v>161</v>
      </c>
      <c r="D40" s="5" t="s">
        <v>162</v>
      </c>
      <c r="E40" s="5">
        <v>43.350810000000003</v>
      </c>
      <c r="F40" s="5">
        <v>46.100963</v>
      </c>
      <c r="M40" s="5">
        <v>4.5</v>
      </c>
      <c r="W40" s="5" t="s">
        <v>44</v>
      </c>
      <c r="AJ40" s="5" t="s">
        <v>163</v>
      </c>
    </row>
    <row r="41" spans="1:36" x14ac:dyDescent="0.25">
      <c r="A41" s="5" t="s">
        <v>164</v>
      </c>
      <c r="B41" s="5" t="s">
        <v>77</v>
      </c>
      <c r="C41" s="5" t="s">
        <v>109</v>
      </c>
      <c r="D41" s="5" t="s">
        <v>2094</v>
      </c>
      <c r="E41" s="5">
        <v>53.008800000000001</v>
      </c>
      <c r="F41" s="5">
        <v>9.6252999999999993</v>
      </c>
      <c r="G41" s="5" t="s">
        <v>165</v>
      </c>
      <c r="I41" s="6">
        <v>38280</v>
      </c>
      <c r="J41" s="6">
        <v>38284</v>
      </c>
      <c r="L41" s="5">
        <v>4</v>
      </c>
      <c r="M41" s="5">
        <v>4.4000000000000004</v>
      </c>
      <c r="N41" s="5" t="s">
        <v>40</v>
      </c>
      <c r="O41" s="5" t="s">
        <v>2011</v>
      </c>
      <c r="P41" s="7">
        <v>38280</v>
      </c>
      <c r="Q41" s="5">
        <v>2004</v>
      </c>
      <c r="T41" s="5" t="s">
        <v>41</v>
      </c>
      <c r="U41" s="5" t="s">
        <v>166</v>
      </c>
      <c r="V41" s="5" t="s">
        <v>167</v>
      </c>
      <c r="W41" s="5" t="s">
        <v>44</v>
      </c>
      <c r="AC41" s="5">
        <v>79540000000</v>
      </c>
      <c r="AD41" s="5" t="s">
        <v>92</v>
      </c>
      <c r="AF41" s="8" t="s">
        <v>168</v>
      </c>
      <c r="AG41" s="8"/>
      <c r="AJ41" s="5" t="s">
        <v>2012</v>
      </c>
    </row>
    <row r="42" spans="1:36" x14ac:dyDescent="0.25">
      <c r="A42" s="5" t="s">
        <v>51</v>
      </c>
      <c r="B42" s="5" t="s">
        <v>77</v>
      </c>
      <c r="C42" s="5" t="s">
        <v>169</v>
      </c>
      <c r="D42" s="5" t="s">
        <v>114</v>
      </c>
      <c r="E42" s="5">
        <v>32.954945000000002</v>
      </c>
      <c r="F42" s="5">
        <v>-100.88532600000001</v>
      </c>
      <c r="G42" s="5">
        <v>2001</v>
      </c>
      <c r="I42" s="5">
        <v>2006</v>
      </c>
      <c r="J42" s="5">
        <v>2011</v>
      </c>
      <c r="L42" s="5">
        <v>105</v>
      </c>
      <c r="M42" s="5">
        <v>4.4000000000000004</v>
      </c>
      <c r="N42" s="5" t="s">
        <v>40</v>
      </c>
      <c r="P42" s="7">
        <v>40797</v>
      </c>
      <c r="Q42" s="5">
        <v>2011</v>
      </c>
      <c r="S42" s="5">
        <v>5000</v>
      </c>
      <c r="T42" s="5" t="s">
        <v>116</v>
      </c>
      <c r="V42" s="5">
        <v>2100</v>
      </c>
      <c r="W42" s="5" t="s">
        <v>44</v>
      </c>
      <c r="AA42" s="5">
        <v>180.7</v>
      </c>
      <c r="AB42" s="5" t="s">
        <v>118</v>
      </c>
      <c r="AC42" s="5">
        <v>20000000</v>
      </c>
      <c r="AD42" s="5" t="s">
        <v>92</v>
      </c>
      <c r="AH42" s="5">
        <v>75</v>
      </c>
      <c r="AI42" s="5" t="s">
        <v>170</v>
      </c>
      <c r="AJ42" s="5" t="s">
        <v>171</v>
      </c>
    </row>
    <row r="43" spans="1:36" ht="15" customHeight="1" x14ac:dyDescent="0.25">
      <c r="A43" s="5" t="s">
        <v>123</v>
      </c>
      <c r="B43" s="5" t="s">
        <v>77</v>
      </c>
      <c r="C43" s="5" t="s">
        <v>86</v>
      </c>
      <c r="D43" s="5" t="s">
        <v>178</v>
      </c>
      <c r="E43" s="5">
        <v>56.344523000000002</v>
      </c>
      <c r="F43" s="5">
        <v>-120.68570800000001</v>
      </c>
      <c r="G43" s="5" t="s">
        <v>179</v>
      </c>
      <c r="I43" s="5">
        <v>1984</v>
      </c>
      <c r="L43" s="5" t="s">
        <v>180</v>
      </c>
      <c r="M43" s="5">
        <v>4.3</v>
      </c>
      <c r="P43" s="7">
        <v>34476</v>
      </c>
      <c r="Q43" s="5">
        <v>1994</v>
      </c>
      <c r="T43" s="5" t="s">
        <v>130</v>
      </c>
      <c r="U43" s="5" t="s">
        <v>181</v>
      </c>
      <c r="V43" s="5">
        <v>1900</v>
      </c>
      <c r="W43" s="5" t="s">
        <v>44</v>
      </c>
      <c r="AA43" s="5" t="s">
        <v>182</v>
      </c>
      <c r="AB43" s="5" t="s">
        <v>118</v>
      </c>
      <c r="AC43" s="5" t="s">
        <v>183</v>
      </c>
      <c r="AD43" s="5" t="s">
        <v>92</v>
      </c>
      <c r="AE43" s="5" t="s">
        <v>184</v>
      </c>
      <c r="AI43" s="5" t="s">
        <v>178</v>
      </c>
      <c r="AJ43" s="5" t="s">
        <v>185</v>
      </c>
    </row>
    <row r="44" spans="1:36" ht="15" customHeight="1" x14ac:dyDescent="0.25">
      <c r="A44" s="5" t="s">
        <v>172</v>
      </c>
      <c r="B44" s="5" t="s">
        <v>77</v>
      </c>
      <c r="C44" s="5" t="s">
        <v>109</v>
      </c>
      <c r="D44" s="5" t="s">
        <v>2055</v>
      </c>
      <c r="E44" s="5">
        <v>37.010416999999997</v>
      </c>
      <c r="F44" s="5">
        <v>-6.8998840000000001</v>
      </c>
      <c r="G44" s="5">
        <v>1997</v>
      </c>
      <c r="M44" s="5">
        <v>4.3</v>
      </c>
      <c r="P44" s="5">
        <v>2002</v>
      </c>
      <c r="Q44" s="5">
        <v>2002</v>
      </c>
      <c r="W44" s="5" t="s">
        <v>90</v>
      </c>
      <c r="AJ44" s="5" t="s">
        <v>2056</v>
      </c>
    </row>
    <row r="45" spans="1:36" ht="15" customHeight="1" x14ac:dyDescent="0.25">
      <c r="A45" s="5" t="s">
        <v>172</v>
      </c>
      <c r="B45" s="5" t="s">
        <v>77</v>
      </c>
      <c r="C45" s="5" t="s">
        <v>173</v>
      </c>
      <c r="D45" s="5" t="s">
        <v>174</v>
      </c>
      <c r="E45" s="5">
        <v>40.380270000000003</v>
      </c>
      <c r="F45" s="5">
        <v>0.70090200000000003</v>
      </c>
      <c r="G45" s="6">
        <v>41519</v>
      </c>
      <c r="H45" s="6">
        <v>41533</v>
      </c>
      <c r="I45" s="6">
        <v>41522</v>
      </c>
      <c r="L45" s="5" t="s">
        <v>2264</v>
      </c>
      <c r="M45" s="5">
        <v>4.3</v>
      </c>
      <c r="N45" s="5" t="s">
        <v>40</v>
      </c>
      <c r="O45" s="5" t="s">
        <v>175</v>
      </c>
      <c r="P45" s="7">
        <v>41548</v>
      </c>
      <c r="Q45" s="5">
        <v>2013</v>
      </c>
      <c r="S45" s="5">
        <v>5000</v>
      </c>
      <c r="T45" s="5" t="s">
        <v>116</v>
      </c>
      <c r="U45" s="5" t="s">
        <v>176</v>
      </c>
      <c r="V45" s="5">
        <v>1750</v>
      </c>
      <c r="W45" s="5" t="s">
        <v>103</v>
      </c>
      <c r="AC45" s="5">
        <v>102000000</v>
      </c>
      <c r="AD45" s="5" t="s">
        <v>92</v>
      </c>
      <c r="AF45" s="5">
        <v>0.6</v>
      </c>
      <c r="AJ45" s="5" t="s">
        <v>177</v>
      </c>
    </row>
    <row r="46" spans="1:36" x14ac:dyDescent="0.25">
      <c r="A46" s="5" t="s">
        <v>186</v>
      </c>
      <c r="B46" s="5" t="s">
        <v>77</v>
      </c>
      <c r="C46" s="5" t="s">
        <v>161</v>
      </c>
      <c r="D46" s="5" t="s">
        <v>187</v>
      </c>
      <c r="E46" s="5">
        <v>25.186962000000001</v>
      </c>
      <c r="F46" s="5">
        <v>49.312305000000002</v>
      </c>
      <c r="I46" s="5">
        <v>2005</v>
      </c>
      <c r="J46" s="5">
        <v>2010</v>
      </c>
      <c r="L46" s="5">
        <v>826</v>
      </c>
      <c r="M46" s="5">
        <v>4.24</v>
      </c>
      <c r="N46" s="5" t="s">
        <v>65</v>
      </c>
      <c r="W46" s="5" t="s">
        <v>44</v>
      </c>
      <c r="AJ46" s="5" t="s">
        <v>188</v>
      </c>
    </row>
    <row r="47" spans="1:36" x14ac:dyDescent="0.25">
      <c r="A47" s="5" t="s">
        <v>189</v>
      </c>
      <c r="B47" s="5" t="s">
        <v>77</v>
      </c>
      <c r="C47" s="5" t="s">
        <v>109</v>
      </c>
      <c r="D47" s="5" t="s">
        <v>190</v>
      </c>
      <c r="E47" s="5">
        <v>43.408771000000002</v>
      </c>
      <c r="F47" s="5">
        <v>-0.63539999999999996</v>
      </c>
      <c r="G47" s="5">
        <v>1957</v>
      </c>
      <c r="H47" s="5">
        <v>2013</v>
      </c>
      <c r="I47" s="5">
        <v>1969</v>
      </c>
      <c r="L47" s="5" t="s">
        <v>191</v>
      </c>
      <c r="M47" s="5">
        <v>4.2</v>
      </c>
      <c r="N47" s="5" t="s">
        <v>65</v>
      </c>
      <c r="P47" s="5"/>
      <c r="T47" s="5" t="s">
        <v>116</v>
      </c>
      <c r="U47" s="5" t="s">
        <v>192</v>
      </c>
      <c r="V47" s="5" t="s">
        <v>193</v>
      </c>
      <c r="W47" s="5" t="s">
        <v>44</v>
      </c>
      <c r="AF47" s="8" t="s">
        <v>194</v>
      </c>
      <c r="AG47" s="8">
        <v>-0.2</v>
      </c>
      <c r="AJ47" s="5" t="s">
        <v>195</v>
      </c>
    </row>
    <row r="48" spans="1:36" x14ac:dyDescent="0.25">
      <c r="A48" s="5" t="s">
        <v>51</v>
      </c>
      <c r="B48" s="5" t="s">
        <v>77</v>
      </c>
      <c r="C48" s="5" t="s">
        <v>95</v>
      </c>
      <c r="D48" s="5" t="s">
        <v>201</v>
      </c>
      <c r="E48" s="5">
        <v>31.812335000000001</v>
      </c>
      <c r="F48" s="5">
        <v>-96.443859000000003</v>
      </c>
      <c r="G48" s="5">
        <v>1920</v>
      </c>
      <c r="M48" s="5">
        <v>4</v>
      </c>
      <c r="P48" s="7">
        <v>11788</v>
      </c>
      <c r="Q48" s="5">
        <v>1932</v>
      </c>
      <c r="W48" s="5" t="s">
        <v>44</v>
      </c>
      <c r="AC48" s="5">
        <f>(90000000+12000000)/6.29</f>
        <v>16216216.216216216</v>
      </c>
      <c r="AD48" s="5" t="s">
        <v>92</v>
      </c>
      <c r="AF48" s="8"/>
      <c r="AG48" s="8"/>
      <c r="AJ48" s="5" t="s">
        <v>202</v>
      </c>
    </row>
    <row r="49" spans="1:36" x14ac:dyDescent="0.25">
      <c r="A49" s="5" t="s">
        <v>164</v>
      </c>
      <c r="B49" s="5" t="s">
        <v>77</v>
      </c>
      <c r="C49" s="5" t="s">
        <v>109</v>
      </c>
      <c r="D49" s="5" t="s">
        <v>2095</v>
      </c>
      <c r="E49" s="5">
        <v>52.986781000000001</v>
      </c>
      <c r="F49" s="5">
        <v>9.8445239999999998</v>
      </c>
      <c r="M49" s="5">
        <v>4</v>
      </c>
      <c r="N49" s="5" t="s">
        <v>65</v>
      </c>
      <c r="P49" s="7">
        <v>28278</v>
      </c>
      <c r="Q49" s="5">
        <v>1977</v>
      </c>
      <c r="T49" s="5" t="s">
        <v>41</v>
      </c>
      <c r="W49" s="5" t="s">
        <v>44</v>
      </c>
      <c r="AJ49" s="5" t="s">
        <v>206</v>
      </c>
    </row>
    <row r="50" spans="1:36" x14ac:dyDescent="0.25">
      <c r="A50" s="5" t="s">
        <v>149</v>
      </c>
      <c r="B50" s="5" t="s">
        <v>77</v>
      </c>
      <c r="C50" s="5" t="s">
        <v>86</v>
      </c>
      <c r="D50" s="5" t="s">
        <v>203</v>
      </c>
      <c r="E50" s="5">
        <v>54.853800999999997</v>
      </c>
      <c r="F50" s="5">
        <v>52.448906000000001</v>
      </c>
      <c r="G50" s="5">
        <v>1948</v>
      </c>
      <c r="I50" s="5">
        <v>1982</v>
      </c>
      <c r="M50" s="5">
        <v>4</v>
      </c>
      <c r="N50" s="5" t="s">
        <v>65</v>
      </c>
      <c r="O50" s="5">
        <v>6000</v>
      </c>
      <c r="P50" s="7">
        <v>33539</v>
      </c>
      <c r="Q50" s="5">
        <v>1991</v>
      </c>
      <c r="U50" s="5" t="s">
        <v>204</v>
      </c>
      <c r="V50" s="5" t="s">
        <v>205</v>
      </c>
      <c r="W50" s="5" t="s">
        <v>44</v>
      </c>
      <c r="AC50" s="5" t="s">
        <v>2096</v>
      </c>
      <c r="AD50" s="5" t="s">
        <v>92</v>
      </c>
      <c r="AJ50" s="5" t="s">
        <v>2097</v>
      </c>
    </row>
    <row r="51" spans="1:36" x14ac:dyDescent="0.25">
      <c r="A51" s="5" t="s">
        <v>51</v>
      </c>
      <c r="B51" s="5" t="s">
        <v>77</v>
      </c>
      <c r="C51" s="5" t="s">
        <v>196</v>
      </c>
      <c r="D51" s="5" t="s">
        <v>197</v>
      </c>
      <c r="E51" s="5">
        <v>31.856802999999999</v>
      </c>
      <c r="F51" s="5">
        <v>-103.09288599999999</v>
      </c>
      <c r="G51" s="5">
        <v>1964</v>
      </c>
      <c r="I51" s="5">
        <v>1964</v>
      </c>
      <c r="M51" s="5">
        <v>4</v>
      </c>
      <c r="N51" s="5" t="s">
        <v>65</v>
      </c>
      <c r="V51" s="5" t="s">
        <v>198</v>
      </c>
      <c r="W51" s="5" t="s">
        <v>44</v>
      </c>
      <c r="AE51" s="5">
        <v>22.1</v>
      </c>
      <c r="AF51" s="8" t="s">
        <v>199</v>
      </c>
      <c r="AG51" s="8"/>
      <c r="AJ51" s="5" t="s">
        <v>200</v>
      </c>
    </row>
    <row r="52" spans="1:36" x14ac:dyDescent="0.25">
      <c r="A52" s="5" t="s">
        <v>123</v>
      </c>
      <c r="B52" s="5" t="s">
        <v>77</v>
      </c>
      <c r="C52" s="5" t="s">
        <v>109</v>
      </c>
      <c r="D52" s="5" t="s">
        <v>207</v>
      </c>
      <c r="E52" s="5">
        <v>52.225758999999996</v>
      </c>
      <c r="F52" s="5">
        <v>-115.17661699999999</v>
      </c>
      <c r="G52" s="5">
        <v>1970</v>
      </c>
      <c r="I52" s="5">
        <v>1974</v>
      </c>
      <c r="M52" s="5">
        <v>4</v>
      </c>
      <c r="N52" s="5" t="s">
        <v>65</v>
      </c>
      <c r="T52" s="5" t="s">
        <v>116</v>
      </c>
      <c r="W52" s="5" t="s">
        <v>44</v>
      </c>
      <c r="AF52" s="5">
        <v>-25</v>
      </c>
      <c r="AJ52" s="5" t="s">
        <v>208</v>
      </c>
    </row>
    <row r="53" spans="1:36" x14ac:dyDescent="0.25">
      <c r="A53" s="5" t="s">
        <v>51</v>
      </c>
      <c r="B53" s="5" t="s">
        <v>77</v>
      </c>
      <c r="C53" s="5" t="s">
        <v>95</v>
      </c>
      <c r="D53" s="5" t="s">
        <v>2431</v>
      </c>
      <c r="E53" s="5">
        <v>34</v>
      </c>
      <c r="F53" s="5">
        <v>-118.5</v>
      </c>
      <c r="G53" s="5">
        <v>1900</v>
      </c>
      <c r="M53" s="5">
        <v>4</v>
      </c>
      <c r="N53" s="5" t="s">
        <v>40</v>
      </c>
      <c r="P53" s="7">
        <v>6640</v>
      </c>
      <c r="Q53" s="5">
        <v>1918</v>
      </c>
      <c r="W53" s="5" t="s">
        <v>90</v>
      </c>
      <c r="AJ53" s="5" t="s">
        <v>2426</v>
      </c>
    </row>
    <row r="54" spans="1:36" ht="15" customHeight="1" x14ac:dyDescent="0.25">
      <c r="A54" s="5" t="s">
        <v>189</v>
      </c>
      <c r="B54" s="5" t="s">
        <v>77</v>
      </c>
      <c r="C54" s="5" t="s">
        <v>2228</v>
      </c>
      <c r="D54" s="5" t="s">
        <v>190</v>
      </c>
      <c r="E54" s="5">
        <v>43.519100000000002</v>
      </c>
      <c r="F54" s="5">
        <v>-0.58689999999999998</v>
      </c>
      <c r="G54" s="5">
        <v>1957</v>
      </c>
      <c r="H54" s="5">
        <v>2013</v>
      </c>
      <c r="I54" s="5">
        <v>1969</v>
      </c>
      <c r="M54" s="5">
        <v>3.9</v>
      </c>
      <c r="N54" s="5" t="s">
        <v>40</v>
      </c>
      <c r="O54" s="5">
        <v>4000</v>
      </c>
      <c r="P54" s="12">
        <v>42485</v>
      </c>
      <c r="Q54" s="5">
        <v>2016</v>
      </c>
      <c r="T54" s="5" t="s">
        <v>116</v>
      </c>
      <c r="W54" s="5" t="s">
        <v>44</v>
      </c>
      <c r="AF54" s="8"/>
      <c r="AG54" s="8"/>
      <c r="AJ54" s="5" t="s">
        <v>2229</v>
      </c>
    </row>
    <row r="55" spans="1:36" ht="15" customHeight="1" x14ac:dyDescent="0.25">
      <c r="A55" s="5" t="s">
        <v>51</v>
      </c>
      <c r="B55" s="5" t="s">
        <v>77</v>
      </c>
      <c r="C55" s="5" t="s">
        <v>209</v>
      </c>
      <c r="D55" s="5" t="s">
        <v>210</v>
      </c>
      <c r="E55" s="5">
        <v>28.897784999999999</v>
      </c>
      <c r="F55" s="5">
        <v>-98.455383999999995</v>
      </c>
      <c r="G55" s="5" t="s">
        <v>211</v>
      </c>
      <c r="I55" s="5">
        <v>1973</v>
      </c>
      <c r="J55" s="5">
        <v>1983</v>
      </c>
      <c r="M55" s="5">
        <v>3.9</v>
      </c>
      <c r="N55" s="5" t="s">
        <v>65</v>
      </c>
      <c r="O55" s="5">
        <v>2400</v>
      </c>
      <c r="P55" s="7">
        <v>30744</v>
      </c>
      <c r="Q55" s="5">
        <v>1984</v>
      </c>
      <c r="T55" s="5" t="s">
        <v>116</v>
      </c>
      <c r="U55" s="5" t="s">
        <v>212</v>
      </c>
      <c r="V55" s="5">
        <v>2200</v>
      </c>
      <c r="W55" s="5" t="s">
        <v>44</v>
      </c>
      <c r="AC55" s="5" t="s">
        <v>213</v>
      </c>
      <c r="AD55" s="5" t="s">
        <v>92</v>
      </c>
      <c r="AF55" s="5" t="s">
        <v>214</v>
      </c>
      <c r="AJ55" s="5" t="s">
        <v>215</v>
      </c>
    </row>
    <row r="56" spans="1:36" x14ac:dyDescent="0.25">
      <c r="A56" s="5" t="s">
        <v>51</v>
      </c>
      <c r="B56" s="5" t="s">
        <v>77</v>
      </c>
      <c r="C56" s="5" t="s">
        <v>216</v>
      </c>
      <c r="D56" s="5" t="s">
        <v>217</v>
      </c>
      <c r="E56" s="5">
        <v>27.687069999999999</v>
      </c>
      <c r="F56" s="5">
        <v>-97.902146000000002</v>
      </c>
      <c r="G56" s="5">
        <v>1938</v>
      </c>
      <c r="M56" s="5">
        <v>3.9</v>
      </c>
      <c r="N56" s="5" t="s">
        <v>218</v>
      </c>
      <c r="O56" s="5">
        <v>1500</v>
      </c>
      <c r="P56" s="7">
        <v>40293</v>
      </c>
      <c r="Q56" s="5">
        <v>2010</v>
      </c>
      <c r="T56" s="5" t="s">
        <v>41</v>
      </c>
      <c r="V56" s="5" t="s">
        <v>219</v>
      </c>
      <c r="W56" s="5" t="s">
        <v>44</v>
      </c>
      <c r="AC56" s="5" t="s">
        <v>220</v>
      </c>
      <c r="AD56" s="5" t="s">
        <v>92</v>
      </c>
      <c r="AI56" s="5" t="s">
        <v>221</v>
      </c>
      <c r="AJ56" s="5" t="s">
        <v>222</v>
      </c>
    </row>
    <row r="57" spans="1:36" x14ac:dyDescent="0.25">
      <c r="A57" s="5" t="s">
        <v>164</v>
      </c>
      <c r="B57" s="5" t="s">
        <v>77</v>
      </c>
      <c r="C57" s="5" t="s">
        <v>109</v>
      </c>
      <c r="D57" s="5" t="s">
        <v>2098</v>
      </c>
      <c r="E57" s="5">
        <v>52.912154000000001</v>
      </c>
      <c r="F57" s="5">
        <v>8.8184570000000004</v>
      </c>
      <c r="M57" s="5">
        <v>3.8</v>
      </c>
      <c r="N57" s="5" t="s">
        <v>65</v>
      </c>
      <c r="O57" s="5">
        <v>4700</v>
      </c>
      <c r="P57" s="7">
        <v>38548</v>
      </c>
      <c r="Q57" s="5">
        <v>2005</v>
      </c>
      <c r="T57" s="5" t="s">
        <v>41</v>
      </c>
      <c r="W57" s="5" t="s">
        <v>44</v>
      </c>
      <c r="AJ57" s="5" t="s">
        <v>2265</v>
      </c>
    </row>
    <row r="58" spans="1:36" x14ac:dyDescent="0.25">
      <c r="A58" s="5" t="s">
        <v>164</v>
      </c>
      <c r="B58" s="5" t="s">
        <v>77</v>
      </c>
      <c r="C58" s="5" t="s">
        <v>109</v>
      </c>
      <c r="D58" s="5" t="s">
        <v>2099</v>
      </c>
      <c r="E58" s="5">
        <v>52.938844000000003</v>
      </c>
      <c r="F58" s="5">
        <v>8.6748379999999994</v>
      </c>
      <c r="M58" s="5">
        <v>3.8</v>
      </c>
      <c r="N58" s="5" t="s">
        <v>65</v>
      </c>
      <c r="T58" s="5" t="s">
        <v>41</v>
      </c>
      <c r="W58" s="5" t="s">
        <v>44</v>
      </c>
      <c r="AJ58" s="5" t="s">
        <v>2100</v>
      </c>
    </row>
    <row r="59" spans="1:36" ht="15" customHeight="1" x14ac:dyDescent="0.25">
      <c r="A59" s="5" t="s">
        <v>51</v>
      </c>
      <c r="B59" s="5" t="s">
        <v>77</v>
      </c>
      <c r="C59" s="5" t="s">
        <v>223</v>
      </c>
      <c r="D59" s="5" t="s">
        <v>224</v>
      </c>
      <c r="E59" s="5">
        <v>34.005808999999999</v>
      </c>
      <c r="F59" s="5">
        <v>-118.37794599999999</v>
      </c>
      <c r="G59" s="5" t="s">
        <v>225</v>
      </c>
      <c r="I59" s="5">
        <v>1962</v>
      </c>
      <c r="M59" s="5">
        <v>3.7</v>
      </c>
      <c r="N59" s="5" t="s">
        <v>65</v>
      </c>
      <c r="O59" s="5">
        <v>5000</v>
      </c>
      <c r="P59" s="5">
        <v>1962</v>
      </c>
      <c r="Q59" s="5">
        <v>1962</v>
      </c>
      <c r="V59" s="5">
        <v>500</v>
      </c>
      <c r="W59" s="5" t="s">
        <v>90</v>
      </c>
      <c r="AC59" s="5">
        <v>1600000000</v>
      </c>
      <c r="AD59" s="5" t="s">
        <v>67</v>
      </c>
      <c r="AF59" s="8" t="s">
        <v>226</v>
      </c>
      <c r="AG59" s="8"/>
      <c r="AJ59" s="5" t="s">
        <v>227</v>
      </c>
    </row>
    <row r="60" spans="1:36" x14ac:dyDescent="0.25">
      <c r="A60" s="5" t="s">
        <v>51</v>
      </c>
      <c r="B60" s="5" t="s">
        <v>77</v>
      </c>
      <c r="C60" s="5" t="s">
        <v>86</v>
      </c>
      <c r="D60" s="5" t="s">
        <v>228</v>
      </c>
      <c r="E60" s="5">
        <v>28.990919999999999</v>
      </c>
      <c r="F60" s="5">
        <v>-98.032185999999996</v>
      </c>
      <c r="G60" s="5" t="s">
        <v>229</v>
      </c>
      <c r="M60" s="5">
        <v>3.6</v>
      </c>
      <c r="N60" s="5" t="s">
        <v>230</v>
      </c>
      <c r="O60" s="5">
        <v>3400</v>
      </c>
      <c r="P60" s="7">
        <v>33439</v>
      </c>
      <c r="Q60" s="5">
        <v>1991</v>
      </c>
      <c r="T60" s="5" t="s">
        <v>41</v>
      </c>
      <c r="V60" s="5" t="s">
        <v>231</v>
      </c>
      <c r="W60" s="5" t="s">
        <v>44</v>
      </c>
      <c r="AC60" s="5" t="s">
        <v>232</v>
      </c>
      <c r="AD60" s="5" t="s">
        <v>92</v>
      </c>
      <c r="AJ60" s="5" t="s">
        <v>233</v>
      </c>
    </row>
    <row r="61" spans="1:36" x14ac:dyDescent="0.25">
      <c r="A61" s="5" t="s">
        <v>1231</v>
      </c>
      <c r="B61" s="5" t="s">
        <v>77</v>
      </c>
      <c r="C61" s="5" t="s">
        <v>161</v>
      </c>
      <c r="D61" s="5" t="s">
        <v>2101</v>
      </c>
      <c r="E61" s="5">
        <v>46.164715000000001</v>
      </c>
      <c r="F61" s="5">
        <v>53.391578000000003</v>
      </c>
      <c r="G61" s="5" t="s">
        <v>1076</v>
      </c>
      <c r="M61" s="5">
        <v>3.6</v>
      </c>
      <c r="N61" s="5" t="s">
        <v>808</v>
      </c>
      <c r="P61" s="7">
        <v>40595</v>
      </c>
      <c r="Q61" s="5">
        <v>2011</v>
      </c>
      <c r="W61" s="5" t="s">
        <v>44</v>
      </c>
      <c r="AJ61" s="5" t="s">
        <v>2102</v>
      </c>
    </row>
    <row r="62" spans="1:36" x14ac:dyDescent="0.25">
      <c r="A62" s="5" t="s">
        <v>51</v>
      </c>
      <c r="B62" s="5" t="s">
        <v>77</v>
      </c>
      <c r="C62" s="5" t="s">
        <v>234</v>
      </c>
      <c r="D62" s="5" t="s">
        <v>235</v>
      </c>
      <c r="E62" s="5">
        <v>32.992842000000003</v>
      </c>
      <c r="F62" s="5">
        <v>-97.585179999999994</v>
      </c>
      <c r="G62" s="5" t="s">
        <v>236</v>
      </c>
      <c r="I62" s="6" t="s">
        <v>237</v>
      </c>
      <c r="J62" s="6" t="s">
        <v>238</v>
      </c>
      <c r="L62" s="5">
        <v>27</v>
      </c>
      <c r="M62" s="5">
        <v>3.6</v>
      </c>
      <c r="N62" s="5" t="s">
        <v>230</v>
      </c>
      <c r="P62" s="7">
        <v>41598</v>
      </c>
      <c r="Q62" s="5">
        <v>2013</v>
      </c>
      <c r="T62" s="5" t="s">
        <v>116</v>
      </c>
      <c r="U62" s="5" t="s">
        <v>239</v>
      </c>
      <c r="V62" s="5">
        <v>2000</v>
      </c>
      <c r="W62" s="5" t="s">
        <v>44</v>
      </c>
      <c r="AA62" s="5" t="s">
        <v>240</v>
      </c>
      <c r="AB62" s="5" t="s">
        <v>118</v>
      </c>
      <c r="AJ62" s="5" t="s">
        <v>241</v>
      </c>
    </row>
    <row r="63" spans="1:36" x14ac:dyDescent="0.25">
      <c r="A63" s="5" t="s">
        <v>51</v>
      </c>
      <c r="B63" s="5" t="s">
        <v>77</v>
      </c>
      <c r="C63" s="5" t="s">
        <v>196</v>
      </c>
      <c r="D63" s="5" t="s">
        <v>242</v>
      </c>
      <c r="E63" s="5">
        <v>31.929691999999999</v>
      </c>
      <c r="F63" s="5">
        <v>-88.468089000000006</v>
      </c>
      <c r="I63" s="5">
        <v>1976</v>
      </c>
      <c r="J63" s="5">
        <v>1978</v>
      </c>
      <c r="M63" s="5">
        <v>3.6</v>
      </c>
      <c r="N63" s="5" t="s">
        <v>65</v>
      </c>
      <c r="W63" s="5" t="s">
        <v>44</v>
      </c>
      <c r="AJ63" s="5" t="s">
        <v>96</v>
      </c>
    </row>
    <row r="64" spans="1:36" x14ac:dyDescent="0.25">
      <c r="A64" s="5" t="s">
        <v>153</v>
      </c>
      <c r="B64" s="5" t="s">
        <v>77</v>
      </c>
      <c r="C64" s="5" t="s">
        <v>78</v>
      </c>
      <c r="D64" s="5" t="s">
        <v>243</v>
      </c>
      <c r="E64" s="5">
        <v>44.156584000000002</v>
      </c>
      <c r="F64" s="5">
        <v>86.863218000000003</v>
      </c>
      <c r="G64" s="5" t="s">
        <v>244</v>
      </c>
      <c r="H64" s="5" t="s">
        <v>245</v>
      </c>
      <c r="I64" s="5">
        <v>2009</v>
      </c>
      <c r="J64" s="5">
        <v>2015</v>
      </c>
      <c r="L64" s="5" t="s">
        <v>246</v>
      </c>
      <c r="M64" s="5">
        <v>3.6</v>
      </c>
      <c r="N64" s="5" t="s">
        <v>65</v>
      </c>
      <c r="S64" s="5">
        <v>3000</v>
      </c>
      <c r="W64" s="5" t="s">
        <v>44</v>
      </c>
      <c r="AJ64" s="5" t="s">
        <v>2627</v>
      </c>
    </row>
    <row r="65" spans="1:36" x14ac:dyDescent="0.25">
      <c r="A65" s="5" t="s">
        <v>250</v>
      </c>
      <c r="B65" s="5" t="s">
        <v>77</v>
      </c>
      <c r="C65" s="5" t="s">
        <v>109</v>
      </c>
      <c r="D65" s="5" t="s">
        <v>251</v>
      </c>
      <c r="E65" s="5">
        <v>52.650573000000001</v>
      </c>
      <c r="F65" s="5">
        <v>4.716736</v>
      </c>
      <c r="G65" s="5">
        <v>1972</v>
      </c>
      <c r="I65" s="6">
        <v>34552</v>
      </c>
      <c r="K65" s="5" t="s">
        <v>252</v>
      </c>
      <c r="L65" s="5" t="s">
        <v>2266</v>
      </c>
      <c r="M65" s="5">
        <v>3.5</v>
      </c>
      <c r="N65" s="5" t="s">
        <v>40</v>
      </c>
      <c r="O65" s="5">
        <v>2000</v>
      </c>
      <c r="P65" s="7">
        <v>37143</v>
      </c>
      <c r="Q65" s="5">
        <v>2001</v>
      </c>
      <c r="T65" s="5" t="s">
        <v>41</v>
      </c>
      <c r="U65" s="5" t="s">
        <v>253</v>
      </c>
      <c r="V65" s="5">
        <v>2100</v>
      </c>
      <c r="W65" s="5" t="s">
        <v>44</v>
      </c>
      <c r="AI65" s="5" t="s">
        <v>2267</v>
      </c>
      <c r="AJ65" s="5" t="s">
        <v>254</v>
      </c>
    </row>
    <row r="66" spans="1:36" x14ac:dyDescent="0.25">
      <c r="A66" s="5" t="s">
        <v>51</v>
      </c>
      <c r="B66" s="5" t="s">
        <v>77</v>
      </c>
      <c r="C66" s="5" t="s">
        <v>196</v>
      </c>
      <c r="D66" s="5" t="s">
        <v>247</v>
      </c>
      <c r="E66" s="5">
        <v>31.947011</v>
      </c>
      <c r="F66" s="5">
        <v>-103.043297</v>
      </c>
      <c r="G66" s="5">
        <v>1962</v>
      </c>
      <c r="I66" s="5">
        <v>1964</v>
      </c>
      <c r="M66" s="5">
        <v>3.5</v>
      </c>
      <c r="N66" s="5" t="s">
        <v>65</v>
      </c>
      <c r="T66" s="5" t="s">
        <v>116</v>
      </c>
      <c r="V66" s="5" t="s">
        <v>248</v>
      </c>
      <c r="W66" s="5" t="s">
        <v>44</v>
      </c>
      <c r="AE66" s="5">
        <v>17.600000000000001</v>
      </c>
      <c r="AF66" s="8" t="s">
        <v>249</v>
      </c>
      <c r="AG66" s="8"/>
      <c r="AJ66" s="5" t="s">
        <v>200</v>
      </c>
    </row>
    <row r="67" spans="1:36" x14ac:dyDescent="0.25">
      <c r="A67" s="5" t="s">
        <v>51</v>
      </c>
      <c r="B67" s="5" t="s">
        <v>77</v>
      </c>
      <c r="C67" s="5" t="s">
        <v>109</v>
      </c>
      <c r="D67" s="5" t="s">
        <v>255</v>
      </c>
      <c r="E67" s="5">
        <v>33.994939000000002</v>
      </c>
      <c r="F67" s="5">
        <v>-96.330799999999996</v>
      </c>
      <c r="G67" s="5">
        <v>1958</v>
      </c>
      <c r="I67" s="5">
        <v>1968</v>
      </c>
      <c r="M67" s="5">
        <v>3.5</v>
      </c>
      <c r="N67" s="5" t="s">
        <v>65</v>
      </c>
      <c r="T67" s="5" t="s">
        <v>116</v>
      </c>
      <c r="W67" s="5" t="s">
        <v>44</v>
      </c>
      <c r="AJ67" s="5" t="s">
        <v>96</v>
      </c>
    </row>
    <row r="68" spans="1:36" x14ac:dyDescent="0.25">
      <c r="A68" s="5" t="s">
        <v>51</v>
      </c>
      <c r="B68" s="5" t="s">
        <v>77</v>
      </c>
      <c r="C68" s="5" t="s">
        <v>256</v>
      </c>
      <c r="D68" s="5" t="s">
        <v>257</v>
      </c>
      <c r="E68" s="5">
        <v>34.833444999999998</v>
      </c>
      <c r="F68" s="5">
        <v>-120.4059</v>
      </c>
      <c r="G68" s="5">
        <v>1991</v>
      </c>
      <c r="I68" s="5">
        <v>1991</v>
      </c>
      <c r="M68" s="5">
        <v>3.5</v>
      </c>
      <c r="N68" s="5" t="s">
        <v>65</v>
      </c>
      <c r="T68" s="5" t="s">
        <v>258</v>
      </c>
      <c r="W68" s="5" t="s">
        <v>90</v>
      </c>
      <c r="AE68" s="5">
        <v>18.3</v>
      </c>
      <c r="AF68" s="5">
        <v>18.3</v>
      </c>
      <c r="AJ68" s="5" t="s">
        <v>208</v>
      </c>
    </row>
    <row r="69" spans="1:36" x14ac:dyDescent="0.25">
      <c r="A69" s="5" t="s">
        <v>51</v>
      </c>
      <c r="B69" s="5" t="s">
        <v>77</v>
      </c>
      <c r="C69" s="5" t="s">
        <v>196</v>
      </c>
      <c r="D69" s="5" t="s">
        <v>259</v>
      </c>
      <c r="E69" s="5">
        <v>32.173122999999997</v>
      </c>
      <c r="F69" s="5">
        <v>-103.087288</v>
      </c>
      <c r="G69" s="5">
        <v>1959</v>
      </c>
      <c r="I69" s="5">
        <v>1964</v>
      </c>
      <c r="M69" s="5">
        <v>3.5</v>
      </c>
      <c r="N69" s="5" t="s">
        <v>65</v>
      </c>
      <c r="T69" s="5" t="s">
        <v>260</v>
      </c>
      <c r="W69" s="5" t="s">
        <v>44</v>
      </c>
      <c r="AE69" s="5">
        <v>13.8</v>
      </c>
      <c r="AF69" s="8" t="s">
        <v>261</v>
      </c>
      <c r="AG69" s="8"/>
      <c r="AJ69" s="5" t="s">
        <v>208</v>
      </c>
    </row>
    <row r="70" spans="1:36" x14ac:dyDescent="0.25">
      <c r="A70" s="5" t="s">
        <v>51</v>
      </c>
      <c r="B70" s="5" t="s">
        <v>77</v>
      </c>
      <c r="C70" s="5" t="s">
        <v>196</v>
      </c>
      <c r="D70" s="5" t="s">
        <v>262</v>
      </c>
      <c r="E70" s="5">
        <v>31.549586999999999</v>
      </c>
      <c r="F70" s="5">
        <v>-102.968267</v>
      </c>
      <c r="G70" s="5">
        <v>1961</v>
      </c>
      <c r="I70" s="5">
        <v>1964</v>
      </c>
      <c r="M70" s="5">
        <v>3.5</v>
      </c>
      <c r="N70" s="5" t="s">
        <v>65</v>
      </c>
      <c r="T70" s="5" t="s">
        <v>41</v>
      </c>
      <c r="W70" s="5" t="s">
        <v>44</v>
      </c>
      <c r="AE70" s="5">
        <v>11.7</v>
      </c>
      <c r="AF70" s="5">
        <v>11.7</v>
      </c>
      <c r="AJ70" s="5" t="s">
        <v>208</v>
      </c>
    </row>
    <row r="71" spans="1:36" ht="15" customHeight="1" x14ac:dyDescent="0.25">
      <c r="A71" s="5" t="s">
        <v>51</v>
      </c>
      <c r="B71" s="5" t="s">
        <v>77</v>
      </c>
      <c r="C71" s="5" t="s">
        <v>95</v>
      </c>
      <c r="D71" s="5" t="s">
        <v>2432</v>
      </c>
      <c r="E71" s="5">
        <v>33.94</v>
      </c>
      <c r="F71" s="5">
        <v>-117.79</v>
      </c>
      <c r="G71" s="5" t="s">
        <v>2433</v>
      </c>
      <c r="M71" s="5">
        <v>3.5</v>
      </c>
      <c r="N71" s="5" t="s">
        <v>40</v>
      </c>
      <c r="P71" s="7">
        <v>11413</v>
      </c>
      <c r="Q71" s="5">
        <v>1931</v>
      </c>
      <c r="W71" s="5" t="s">
        <v>90</v>
      </c>
      <c r="AJ71" s="5" t="s">
        <v>2426</v>
      </c>
    </row>
    <row r="72" spans="1:36" x14ac:dyDescent="0.25">
      <c r="A72" s="5" t="s">
        <v>250</v>
      </c>
      <c r="B72" s="5" t="s">
        <v>77</v>
      </c>
      <c r="C72" s="5" t="s">
        <v>109</v>
      </c>
      <c r="D72" s="5" t="s">
        <v>275</v>
      </c>
      <c r="E72" s="5">
        <v>52.839019</v>
      </c>
      <c r="F72" s="5">
        <v>7.0394649999999999</v>
      </c>
      <c r="G72" s="5">
        <v>1980</v>
      </c>
      <c r="I72" s="6">
        <v>33766</v>
      </c>
      <c r="K72" s="5" t="s">
        <v>276</v>
      </c>
      <c r="L72" s="5" t="s">
        <v>2268</v>
      </c>
      <c r="M72" s="5">
        <v>3.4</v>
      </c>
      <c r="N72" s="5" t="s">
        <v>65</v>
      </c>
      <c r="P72" s="7">
        <v>35480</v>
      </c>
      <c r="Q72" s="5">
        <v>1997</v>
      </c>
      <c r="T72" s="5" t="s">
        <v>41</v>
      </c>
      <c r="V72" s="5" t="s">
        <v>277</v>
      </c>
      <c r="W72" s="5" t="s">
        <v>44</v>
      </c>
      <c r="AJ72" s="5" t="s">
        <v>278</v>
      </c>
    </row>
    <row r="73" spans="1:36" x14ac:dyDescent="0.25">
      <c r="A73" s="5" t="s">
        <v>250</v>
      </c>
      <c r="B73" s="5" t="s">
        <v>77</v>
      </c>
      <c r="C73" s="5" t="s">
        <v>109</v>
      </c>
      <c r="D73" s="5" t="s">
        <v>263</v>
      </c>
      <c r="E73" s="5">
        <v>53.34</v>
      </c>
      <c r="F73" s="5">
        <v>6.75</v>
      </c>
      <c r="G73" s="5">
        <v>1963</v>
      </c>
      <c r="I73" s="6">
        <v>33577</v>
      </c>
      <c r="K73" s="5" t="s">
        <v>264</v>
      </c>
      <c r="L73" s="5" t="s">
        <v>265</v>
      </c>
      <c r="M73" s="5">
        <v>3.4</v>
      </c>
      <c r="N73" s="5" t="s">
        <v>65</v>
      </c>
      <c r="P73" s="7">
        <v>41137</v>
      </c>
      <c r="Q73" s="5">
        <v>2012</v>
      </c>
      <c r="T73" s="5" t="s">
        <v>41</v>
      </c>
      <c r="V73" s="5" t="s">
        <v>266</v>
      </c>
      <c r="W73" s="5" t="s">
        <v>44</v>
      </c>
      <c r="AC73" s="5" t="s">
        <v>267</v>
      </c>
      <c r="AD73" s="5" t="s">
        <v>92</v>
      </c>
      <c r="AF73" s="5" t="s">
        <v>268</v>
      </c>
      <c r="AI73" s="5" t="s">
        <v>2267</v>
      </c>
      <c r="AJ73" s="5" t="s">
        <v>269</v>
      </c>
    </row>
    <row r="74" spans="1:36" x14ac:dyDescent="0.25">
      <c r="A74" s="5" t="s">
        <v>123</v>
      </c>
      <c r="B74" s="5" t="s">
        <v>77</v>
      </c>
      <c r="C74" s="5" t="s">
        <v>196</v>
      </c>
      <c r="D74" s="5" t="s">
        <v>270</v>
      </c>
      <c r="E74" s="5">
        <v>43.157882000000001</v>
      </c>
      <c r="F74" s="5">
        <v>-80.568287999999995</v>
      </c>
      <c r="G74" s="5">
        <v>1969</v>
      </c>
      <c r="I74" s="5">
        <v>1979</v>
      </c>
      <c r="J74" s="5">
        <v>1984</v>
      </c>
      <c r="L74" s="5">
        <v>478</v>
      </c>
      <c r="M74" s="5">
        <v>3.4</v>
      </c>
      <c r="T74" s="5" t="s">
        <v>41</v>
      </c>
      <c r="U74" s="5" t="s">
        <v>271</v>
      </c>
      <c r="V74" s="5">
        <v>884</v>
      </c>
      <c r="W74" s="5" t="s">
        <v>44</v>
      </c>
      <c r="AJ74" s="5" t="s">
        <v>272</v>
      </c>
    </row>
    <row r="75" spans="1:36" x14ac:dyDescent="0.25">
      <c r="A75" s="5" t="s">
        <v>51</v>
      </c>
      <c r="B75" s="5" t="s">
        <v>77</v>
      </c>
      <c r="C75" s="5" t="s">
        <v>196</v>
      </c>
      <c r="D75" s="5" t="s">
        <v>273</v>
      </c>
      <c r="E75" s="5">
        <v>35.514333999999998</v>
      </c>
      <c r="F75" s="5">
        <v>-101.404585</v>
      </c>
      <c r="G75" s="5">
        <v>1979</v>
      </c>
      <c r="I75" s="5">
        <v>1983</v>
      </c>
      <c r="J75" s="5">
        <v>1984</v>
      </c>
      <c r="M75" s="5">
        <v>3.4</v>
      </c>
      <c r="N75" s="5" t="s">
        <v>65</v>
      </c>
      <c r="T75" s="5" t="s">
        <v>116</v>
      </c>
      <c r="W75" s="5" t="s">
        <v>44</v>
      </c>
      <c r="AE75" s="5">
        <v>2.1</v>
      </c>
      <c r="AF75" s="8" t="s">
        <v>274</v>
      </c>
      <c r="AG75" s="8"/>
      <c r="AJ75" s="5" t="s">
        <v>208</v>
      </c>
    </row>
    <row r="76" spans="1:36" x14ac:dyDescent="0.25">
      <c r="A76" s="5" t="s">
        <v>149</v>
      </c>
      <c r="B76" s="5" t="s">
        <v>77</v>
      </c>
      <c r="C76" s="5" t="s">
        <v>279</v>
      </c>
      <c r="D76" s="5" t="s">
        <v>280</v>
      </c>
      <c r="E76" s="5">
        <v>43.342036</v>
      </c>
      <c r="F76" s="5">
        <v>45.599269</v>
      </c>
      <c r="G76" s="5">
        <v>1964</v>
      </c>
      <c r="I76" s="5">
        <v>1971</v>
      </c>
      <c r="M76" s="5">
        <v>3.3</v>
      </c>
      <c r="N76" s="5" t="s">
        <v>65</v>
      </c>
      <c r="T76" s="5" t="s">
        <v>41</v>
      </c>
      <c r="V76" s="5">
        <v>400</v>
      </c>
      <c r="W76" s="5" t="s">
        <v>44</v>
      </c>
      <c r="AF76" s="5" t="s">
        <v>281</v>
      </c>
      <c r="AJ76" s="5" t="s">
        <v>282</v>
      </c>
    </row>
    <row r="77" spans="1:36" x14ac:dyDescent="0.25">
      <c r="A77" s="5" t="s">
        <v>61</v>
      </c>
      <c r="B77" s="5" t="s">
        <v>77</v>
      </c>
      <c r="C77" s="5" t="s">
        <v>2230</v>
      </c>
      <c r="D77" s="5" t="s">
        <v>2261</v>
      </c>
      <c r="E77" s="5">
        <v>51.177934999999998</v>
      </c>
      <c r="F77" s="5">
        <v>-0.20952999999999999</v>
      </c>
      <c r="G77" s="5" t="s">
        <v>2231</v>
      </c>
      <c r="I77" s="6">
        <v>43191</v>
      </c>
      <c r="M77" s="5">
        <v>3.1</v>
      </c>
      <c r="N77" s="5" t="s">
        <v>65</v>
      </c>
      <c r="O77" s="5">
        <v>2000</v>
      </c>
      <c r="P77" s="7">
        <v>43523</v>
      </c>
      <c r="Q77" s="5">
        <v>2019</v>
      </c>
      <c r="T77" s="5" t="s">
        <v>41</v>
      </c>
      <c r="W77" s="5" t="s">
        <v>44</v>
      </c>
      <c r="AI77" s="5" t="s">
        <v>2387</v>
      </c>
      <c r="AJ77" s="5" t="s">
        <v>2232</v>
      </c>
    </row>
    <row r="78" spans="1:36" x14ac:dyDescent="0.25">
      <c r="A78" s="5" t="s">
        <v>164</v>
      </c>
      <c r="B78" s="5" t="s">
        <v>77</v>
      </c>
      <c r="C78" s="5" t="s">
        <v>109</v>
      </c>
      <c r="D78" s="5" t="s">
        <v>2269</v>
      </c>
      <c r="E78" s="5">
        <v>53.004241999999998</v>
      </c>
      <c r="F78" s="5">
        <v>9.2309149999999995</v>
      </c>
      <c r="K78" s="5">
        <v>14</v>
      </c>
      <c r="L78" s="5" t="s">
        <v>2270</v>
      </c>
      <c r="M78" s="5">
        <v>3.1</v>
      </c>
      <c r="N78" s="5" t="s">
        <v>65</v>
      </c>
      <c r="T78" s="5" t="s">
        <v>41</v>
      </c>
      <c r="W78" s="5" t="s">
        <v>44</v>
      </c>
      <c r="AJ78" s="5" t="s">
        <v>206</v>
      </c>
    </row>
    <row r="79" spans="1:36" x14ac:dyDescent="0.25">
      <c r="A79" s="5" t="s">
        <v>51</v>
      </c>
      <c r="B79" s="5" t="s">
        <v>77</v>
      </c>
      <c r="C79" s="5" t="s">
        <v>161</v>
      </c>
      <c r="D79" s="5" t="s">
        <v>283</v>
      </c>
      <c r="E79" s="5">
        <v>31.648827000000001</v>
      </c>
      <c r="F79" s="5">
        <v>-103.331074</v>
      </c>
      <c r="G79" s="5">
        <v>1967</v>
      </c>
      <c r="I79" s="5">
        <v>1975</v>
      </c>
      <c r="J79" s="5">
        <v>1979</v>
      </c>
      <c r="M79" s="5">
        <v>3</v>
      </c>
      <c r="N79" s="5" t="s">
        <v>65</v>
      </c>
      <c r="O79" s="5">
        <v>3350</v>
      </c>
      <c r="P79" s="5">
        <v>1975</v>
      </c>
      <c r="Q79" s="5">
        <v>1975</v>
      </c>
      <c r="T79" s="5" t="s">
        <v>130</v>
      </c>
      <c r="V79" s="5" t="s">
        <v>284</v>
      </c>
      <c r="W79" s="5" t="s">
        <v>44</v>
      </c>
      <c r="AC79" s="5">
        <v>15600000000</v>
      </c>
      <c r="AD79" s="5" t="s">
        <v>67</v>
      </c>
      <c r="AJ79" s="5" t="s">
        <v>285</v>
      </c>
    </row>
    <row r="80" spans="1:36" x14ac:dyDescent="0.25">
      <c r="A80" s="5" t="s">
        <v>291</v>
      </c>
      <c r="B80" s="5" t="s">
        <v>77</v>
      </c>
      <c r="C80" s="5" t="s">
        <v>292</v>
      </c>
      <c r="D80" s="5" t="s">
        <v>293</v>
      </c>
      <c r="E80" s="5">
        <v>56.549194444444403</v>
      </c>
      <c r="F80" s="5">
        <v>3.21</v>
      </c>
      <c r="G80" s="5" t="s">
        <v>294</v>
      </c>
      <c r="M80" s="5">
        <v>3</v>
      </c>
      <c r="N80" s="5" t="s">
        <v>65</v>
      </c>
      <c r="O80" s="5" t="s">
        <v>295</v>
      </c>
      <c r="P80" s="7">
        <v>37018</v>
      </c>
      <c r="Q80" s="5">
        <v>2001</v>
      </c>
      <c r="R80" s="5">
        <v>1500</v>
      </c>
      <c r="T80" s="5" t="s">
        <v>116</v>
      </c>
      <c r="V80" s="5" t="s">
        <v>296</v>
      </c>
      <c r="W80" s="5" t="s">
        <v>44</v>
      </c>
      <c r="AA80" s="5">
        <v>27.6</v>
      </c>
      <c r="AB80" s="5" t="s">
        <v>118</v>
      </c>
      <c r="AC80" s="5">
        <v>1900000</v>
      </c>
      <c r="AD80" s="5" t="s">
        <v>92</v>
      </c>
      <c r="AI80" s="5" t="s">
        <v>297</v>
      </c>
      <c r="AJ80" s="5" t="s">
        <v>2271</v>
      </c>
    </row>
    <row r="81" spans="1:36" x14ac:dyDescent="0.25">
      <c r="A81" s="5" t="s">
        <v>51</v>
      </c>
      <c r="B81" s="5" t="s">
        <v>77</v>
      </c>
      <c r="C81" s="5" t="s">
        <v>196</v>
      </c>
      <c r="D81" s="5" t="s">
        <v>286</v>
      </c>
      <c r="E81" s="5">
        <v>31.406048999999999</v>
      </c>
      <c r="F81" s="5">
        <v>-102.906887</v>
      </c>
      <c r="G81" s="5">
        <v>1960</v>
      </c>
      <c r="I81" s="5">
        <v>1964</v>
      </c>
      <c r="M81" s="5">
        <v>3</v>
      </c>
      <c r="N81" s="5" t="s">
        <v>65</v>
      </c>
      <c r="W81" s="5" t="s">
        <v>44</v>
      </c>
      <c r="AE81" s="5">
        <v>13.8</v>
      </c>
      <c r="AF81" s="5">
        <v>13.8</v>
      </c>
      <c r="AJ81" s="5" t="s">
        <v>208</v>
      </c>
    </row>
    <row r="82" spans="1:36" x14ac:dyDescent="0.25">
      <c r="A82" s="5" t="s">
        <v>51</v>
      </c>
      <c r="B82" s="5" t="s">
        <v>77</v>
      </c>
      <c r="C82" s="5" t="s">
        <v>196</v>
      </c>
      <c r="D82" s="5" t="s">
        <v>287</v>
      </c>
      <c r="E82" s="5">
        <v>31.782005000000002</v>
      </c>
      <c r="F82" s="5">
        <v>-102.247384</v>
      </c>
      <c r="G82" s="5">
        <v>1961</v>
      </c>
      <c r="I82" s="5">
        <v>1964</v>
      </c>
      <c r="M82" s="5">
        <v>3</v>
      </c>
      <c r="N82" s="5" t="s">
        <v>65</v>
      </c>
      <c r="W82" s="5" t="s">
        <v>44</v>
      </c>
      <c r="AE82" s="5">
        <v>43.1</v>
      </c>
      <c r="AF82" s="8" t="s">
        <v>288</v>
      </c>
      <c r="AG82" s="8"/>
      <c r="AJ82" s="5" t="s">
        <v>208</v>
      </c>
    </row>
    <row r="83" spans="1:36" x14ac:dyDescent="0.25">
      <c r="A83" s="5" t="s">
        <v>51</v>
      </c>
      <c r="B83" s="5" t="s">
        <v>77</v>
      </c>
      <c r="C83" s="5" t="s">
        <v>196</v>
      </c>
      <c r="D83" s="5" t="s">
        <v>289</v>
      </c>
      <c r="E83" s="5">
        <v>31.652828</v>
      </c>
      <c r="F83" s="5">
        <v>-102.899764</v>
      </c>
      <c r="G83" s="5">
        <v>1965</v>
      </c>
      <c r="I83" s="5">
        <v>1964</v>
      </c>
      <c r="M83" s="5">
        <v>3</v>
      </c>
      <c r="N83" s="5" t="s">
        <v>65</v>
      </c>
      <c r="W83" s="5" t="s">
        <v>44</v>
      </c>
      <c r="AE83" s="5">
        <v>20.7</v>
      </c>
      <c r="AF83" s="8" t="s">
        <v>290</v>
      </c>
      <c r="AG83" s="8"/>
      <c r="AJ83" s="5" t="s">
        <v>208</v>
      </c>
    </row>
    <row r="84" spans="1:36" x14ac:dyDescent="0.25">
      <c r="A84" s="5" t="s">
        <v>164</v>
      </c>
      <c r="B84" s="5" t="s">
        <v>77</v>
      </c>
      <c r="C84" s="5" t="s">
        <v>109</v>
      </c>
      <c r="D84" s="5" t="s">
        <v>2272</v>
      </c>
      <c r="E84" s="5">
        <v>52.986499999999999</v>
      </c>
      <c r="F84" s="5">
        <v>9.5834729999999997</v>
      </c>
      <c r="M84" s="5">
        <v>2.9</v>
      </c>
      <c r="N84" s="5" t="s">
        <v>65</v>
      </c>
      <c r="P84" s="7">
        <v>40952</v>
      </c>
      <c r="Q84" s="5">
        <v>2012</v>
      </c>
      <c r="T84" s="5" t="s">
        <v>41</v>
      </c>
      <c r="W84" s="5" t="s">
        <v>44</v>
      </c>
      <c r="AJ84" s="5" t="s">
        <v>206</v>
      </c>
    </row>
    <row r="85" spans="1:36" x14ac:dyDescent="0.25">
      <c r="A85" s="5" t="s">
        <v>51</v>
      </c>
      <c r="B85" s="5" t="s">
        <v>77</v>
      </c>
      <c r="C85" s="5" t="s">
        <v>196</v>
      </c>
      <c r="D85" s="5" t="s">
        <v>298</v>
      </c>
      <c r="E85" s="5">
        <v>40.183287999999997</v>
      </c>
      <c r="F85" s="5">
        <v>-100.33330100000001</v>
      </c>
      <c r="G85" s="5">
        <v>1966</v>
      </c>
      <c r="I85" s="5">
        <v>1977</v>
      </c>
      <c r="J85" s="5">
        <v>1984</v>
      </c>
      <c r="M85" s="5">
        <v>2.9</v>
      </c>
      <c r="N85" s="5" t="s">
        <v>65</v>
      </c>
      <c r="T85" s="5" t="s">
        <v>130</v>
      </c>
      <c r="W85" s="5" t="s">
        <v>44</v>
      </c>
      <c r="AE85" s="5">
        <v>5.6</v>
      </c>
      <c r="AF85" s="5">
        <v>5.6</v>
      </c>
      <c r="AJ85" s="5" t="s">
        <v>208</v>
      </c>
    </row>
    <row r="86" spans="1:36" x14ac:dyDescent="0.25">
      <c r="A86" s="5" t="s">
        <v>250</v>
      </c>
      <c r="B86" s="5" t="s">
        <v>77</v>
      </c>
      <c r="C86" s="5" t="s">
        <v>109</v>
      </c>
      <c r="D86" s="5" t="s">
        <v>299</v>
      </c>
      <c r="E86" s="5">
        <v>53.004413999999997</v>
      </c>
      <c r="F86" s="5">
        <v>6.5272649999999999</v>
      </c>
      <c r="M86" s="5">
        <v>2.8</v>
      </c>
      <c r="N86" s="5" t="s">
        <v>65</v>
      </c>
      <c r="O86" s="5">
        <v>1000</v>
      </c>
      <c r="P86" s="5">
        <v>1986</v>
      </c>
      <c r="Q86" s="5">
        <v>1986</v>
      </c>
      <c r="T86" s="5" t="s">
        <v>41</v>
      </c>
      <c r="W86" s="5" t="s">
        <v>44</v>
      </c>
      <c r="AF86" s="5" t="s">
        <v>300</v>
      </c>
      <c r="AJ86" s="5" t="s">
        <v>301</v>
      </c>
    </row>
    <row r="87" spans="1:36" x14ac:dyDescent="0.25">
      <c r="A87" s="5" t="s">
        <v>250</v>
      </c>
      <c r="B87" s="5" t="s">
        <v>77</v>
      </c>
      <c r="C87" s="5" t="s">
        <v>109</v>
      </c>
      <c r="D87" s="5" t="s">
        <v>305</v>
      </c>
      <c r="E87" s="5">
        <v>52.957047000000003</v>
      </c>
      <c r="F87" s="5">
        <v>6.5768149999999999</v>
      </c>
      <c r="G87" s="5">
        <v>1975</v>
      </c>
      <c r="I87" s="6">
        <v>31772</v>
      </c>
      <c r="K87" s="5" t="s">
        <v>306</v>
      </c>
      <c r="M87" s="5">
        <v>2.8</v>
      </c>
      <c r="N87" s="5" t="s">
        <v>65</v>
      </c>
      <c r="P87" s="7">
        <v>31772</v>
      </c>
      <c r="Q87" s="5">
        <v>1986</v>
      </c>
      <c r="T87" s="5" t="s">
        <v>41</v>
      </c>
      <c r="W87" s="5" t="s">
        <v>44</v>
      </c>
      <c r="AI87" s="5" t="s">
        <v>2267</v>
      </c>
      <c r="AJ87" s="5" t="s">
        <v>278</v>
      </c>
    </row>
    <row r="88" spans="1:36" x14ac:dyDescent="0.25">
      <c r="A88" s="5" t="s">
        <v>164</v>
      </c>
      <c r="B88" s="5" t="s">
        <v>77</v>
      </c>
      <c r="C88" s="5" t="s">
        <v>109</v>
      </c>
      <c r="D88" s="5" t="s">
        <v>2103</v>
      </c>
      <c r="E88" s="5">
        <v>52.978571000000002</v>
      </c>
      <c r="F88" s="5">
        <v>9.1710209999999996</v>
      </c>
      <c r="M88" s="5">
        <v>2.8</v>
      </c>
      <c r="N88" s="5" t="s">
        <v>65</v>
      </c>
      <c r="P88" s="7">
        <v>39541</v>
      </c>
      <c r="Q88" s="5">
        <v>2008</v>
      </c>
      <c r="T88" s="5" t="s">
        <v>41</v>
      </c>
      <c r="W88" s="5" t="s">
        <v>44</v>
      </c>
      <c r="AJ88" s="5" t="s">
        <v>206</v>
      </c>
    </row>
    <row r="89" spans="1:36" x14ac:dyDescent="0.25">
      <c r="A89" s="5" t="s">
        <v>51</v>
      </c>
      <c r="B89" s="5" t="s">
        <v>77</v>
      </c>
      <c r="C89" s="5" t="s">
        <v>302</v>
      </c>
      <c r="D89" s="5" t="s">
        <v>303</v>
      </c>
      <c r="E89" s="5">
        <v>33.980271000000002</v>
      </c>
      <c r="F89" s="5">
        <v>-97.250812999999994</v>
      </c>
      <c r="G89" s="5" t="s">
        <v>304</v>
      </c>
      <c r="I89" s="5">
        <v>1977</v>
      </c>
      <c r="J89" s="5">
        <v>1979</v>
      </c>
      <c r="M89" s="5">
        <v>2.8</v>
      </c>
      <c r="N89" s="5" t="s">
        <v>65</v>
      </c>
      <c r="W89" s="5" t="s">
        <v>44</v>
      </c>
      <c r="AE89" s="5">
        <v>27.7</v>
      </c>
      <c r="AF89" s="5">
        <v>27.7</v>
      </c>
      <c r="AJ89" s="5" t="s">
        <v>208</v>
      </c>
    </row>
    <row r="90" spans="1:36" ht="15" customHeight="1" x14ac:dyDescent="0.25">
      <c r="A90" s="5" t="s">
        <v>250</v>
      </c>
      <c r="B90" s="5" t="s">
        <v>77</v>
      </c>
      <c r="C90" s="5" t="s">
        <v>109</v>
      </c>
      <c r="D90" s="5" t="s">
        <v>307</v>
      </c>
      <c r="E90" s="5">
        <v>52.576107999999998</v>
      </c>
      <c r="F90" s="5">
        <v>4.9720279999999999</v>
      </c>
      <c r="G90" s="5">
        <v>1975</v>
      </c>
      <c r="I90" s="6">
        <v>32843</v>
      </c>
      <c r="K90" s="5" t="s">
        <v>308</v>
      </c>
      <c r="M90" s="5">
        <v>2.7</v>
      </c>
      <c r="N90" s="5" t="s">
        <v>65</v>
      </c>
      <c r="P90" s="7">
        <v>32843</v>
      </c>
      <c r="Q90" s="5">
        <v>1989</v>
      </c>
      <c r="T90" s="5" t="s">
        <v>130</v>
      </c>
      <c r="W90" s="5" t="s">
        <v>44</v>
      </c>
      <c r="AI90" s="5" t="s">
        <v>2267</v>
      </c>
      <c r="AJ90" s="5" t="s">
        <v>278</v>
      </c>
    </row>
    <row r="91" spans="1:36" ht="15" customHeight="1" x14ac:dyDescent="0.25">
      <c r="A91" s="5" t="s">
        <v>250</v>
      </c>
      <c r="B91" s="5" t="s">
        <v>77</v>
      </c>
      <c r="C91" s="5" t="s">
        <v>109</v>
      </c>
      <c r="D91" s="5" t="s">
        <v>309</v>
      </c>
      <c r="E91" s="5">
        <v>52.650573000000001</v>
      </c>
      <c r="F91" s="5">
        <v>4.716736</v>
      </c>
      <c r="G91" s="5">
        <v>1978</v>
      </c>
      <c r="I91" s="6">
        <v>37174</v>
      </c>
      <c r="K91" s="5" t="s">
        <v>310</v>
      </c>
      <c r="M91" s="5">
        <v>2.7</v>
      </c>
      <c r="N91" s="5" t="s">
        <v>65</v>
      </c>
      <c r="P91" s="7">
        <v>37174</v>
      </c>
      <c r="Q91" s="5">
        <v>2001</v>
      </c>
      <c r="T91" s="5" t="s">
        <v>130</v>
      </c>
      <c r="W91" s="5" t="s">
        <v>44</v>
      </c>
      <c r="AI91" s="5" t="s">
        <v>2267</v>
      </c>
      <c r="AJ91" s="5" t="s">
        <v>278</v>
      </c>
    </row>
    <row r="92" spans="1:36" x14ac:dyDescent="0.25">
      <c r="A92" s="5" t="s">
        <v>1231</v>
      </c>
      <c r="B92" s="5" t="s">
        <v>77</v>
      </c>
      <c r="C92" s="5" t="s">
        <v>109</v>
      </c>
      <c r="D92" s="5" t="s">
        <v>2104</v>
      </c>
      <c r="E92" s="5">
        <v>48.367162</v>
      </c>
      <c r="F92" s="5">
        <v>57.489984999999997</v>
      </c>
      <c r="G92" s="5">
        <v>1983</v>
      </c>
      <c r="M92" s="5">
        <v>2.6</v>
      </c>
      <c r="N92" s="5" t="s">
        <v>808</v>
      </c>
      <c r="W92" s="5" t="s">
        <v>44</v>
      </c>
      <c r="AJ92" s="5" t="s">
        <v>2105</v>
      </c>
    </row>
    <row r="93" spans="1:36" x14ac:dyDescent="0.25">
      <c r="A93" s="5" t="s">
        <v>164</v>
      </c>
      <c r="B93" s="5" t="s">
        <v>77</v>
      </c>
      <c r="C93" s="5" t="s">
        <v>109</v>
      </c>
      <c r="D93" s="5" t="s">
        <v>2106</v>
      </c>
      <c r="E93" s="5">
        <v>52.923344999999998</v>
      </c>
      <c r="F93" s="5">
        <v>9.231185</v>
      </c>
      <c r="M93" s="5">
        <v>2.5</v>
      </c>
      <c r="N93" s="5" t="s">
        <v>65</v>
      </c>
      <c r="P93" s="7">
        <v>40665</v>
      </c>
      <c r="Q93" s="5">
        <v>2011</v>
      </c>
      <c r="T93" s="5" t="s">
        <v>41</v>
      </c>
      <c r="W93" s="5" t="s">
        <v>44</v>
      </c>
      <c r="AJ93" s="5" t="s">
        <v>206</v>
      </c>
    </row>
    <row r="94" spans="1:36" x14ac:dyDescent="0.25">
      <c r="A94" s="5" t="s">
        <v>250</v>
      </c>
      <c r="B94" s="5" t="s">
        <v>77</v>
      </c>
      <c r="C94" s="5" t="s">
        <v>109</v>
      </c>
      <c r="D94" s="5" t="s">
        <v>311</v>
      </c>
      <c r="E94" s="5">
        <v>53.085017999999998</v>
      </c>
      <c r="F94" s="5">
        <v>6.7490209999999999</v>
      </c>
      <c r="G94" s="5">
        <v>1973</v>
      </c>
      <c r="I94" s="6">
        <v>34562</v>
      </c>
      <c r="K94" s="5" t="s">
        <v>312</v>
      </c>
      <c r="M94" s="5">
        <v>2.2999999999999998</v>
      </c>
      <c r="N94" s="5" t="s">
        <v>65</v>
      </c>
      <c r="P94" s="7">
        <v>34562</v>
      </c>
      <c r="Q94" s="5">
        <v>1994</v>
      </c>
      <c r="T94" s="5" t="s">
        <v>41</v>
      </c>
      <c r="W94" s="5" t="s">
        <v>44</v>
      </c>
      <c r="AI94" s="5" t="s">
        <v>2267</v>
      </c>
      <c r="AJ94" s="5" t="s">
        <v>278</v>
      </c>
    </row>
    <row r="95" spans="1:36" x14ac:dyDescent="0.25">
      <c r="A95" s="5" t="s">
        <v>250</v>
      </c>
      <c r="B95" s="5" t="s">
        <v>77</v>
      </c>
      <c r="C95" s="5" t="s">
        <v>109</v>
      </c>
      <c r="D95" s="5" t="s">
        <v>313</v>
      </c>
      <c r="E95" s="5">
        <v>52.965403000000002</v>
      </c>
      <c r="F95" s="5">
        <v>6.4175680000000002</v>
      </c>
      <c r="G95" s="5">
        <v>1999</v>
      </c>
      <c r="I95" s="6">
        <v>37788</v>
      </c>
      <c r="K95" s="5" t="s">
        <v>314</v>
      </c>
      <c r="M95" s="5">
        <v>2.2999999999999998</v>
      </c>
      <c r="N95" s="5" t="s">
        <v>65</v>
      </c>
      <c r="P95" s="7">
        <v>37788</v>
      </c>
      <c r="Q95" s="5">
        <v>2003</v>
      </c>
      <c r="T95" s="5" t="s">
        <v>41</v>
      </c>
      <c r="W95" s="5" t="s">
        <v>44</v>
      </c>
      <c r="AI95" s="5" t="s">
        <v>2267</v>
      </c>
      <c r="AJ95" s="5" t="s">
        <v>278</v>
      </c>
    </row>
    <row r="96" spans="1:36" x14ac:dyDescent="0.25">
      <c r="A96" s="5" t="s">
        <v>250</v>
      </c>
      <c r="B96" s="5" t="s">
        <v>77</v>
      </c>
      <c r="C96" s="5" t="s">
        <v>109</v>
      </c>
      <c r="D96" s="5" t="s">
        <v>315</v>
      </c>
      <c r="E96" s="5">
        <v>52.706569999999999</v>
      </c>
      <c r="F96" s="5">
        <v>6.71373</v>
      </c>
      <c r="G96" s="5">
        <v>1974</v>
      </c>
      <c r="I96" s="6">
        <v>35386</v>
      </c>
      <c r="K96" s="5" t="s">
        <v>252</v>
      </c>
      <c r="M96" s="5">
        <v>2.2000000000000002</v>
      </c>
      <c r="N96" s="5" t="s">
        <v>65</v>
      </c>
      <c r="P96" s="7">
        <v>35386</v>
      </c>
      <c r="Q96" s="5">
        <v>1996</v>
      </c>
      <c r="T96" s="5" t="s">
        <v>41</v>
      </c>
      <c r="W96" s="5" t="s">
        <v>44</v>
      </c>
      <c r="AI96" s="5" t="s">
        <v>2267</v>
      </c>
      <c r="AJ96" s="5" t="s">
        <v>278</v>
      </c>
    </row>
    <row r="97" spans="1:36" x14ac:dyDescent="0.25">
      <c r="A97" s="5" t="s">
        <v>250</v>
      </c>
      <c r="B97" s="5" t="s">
        <v>77</v>
      </c>
      <c r="C97" s="5" t="s">
        <v>109</v>
      </c>
      <c r="D97" s="5" t="s">
        <v>316</v>
      </c>
      <c r="E97" s="5">
        <v>53.136558000000001</v>
      </c>
      <c r="F97" s="5">
        <v>6.4497929999999997</v>
      </c>
      <c r="G97" s="5">
        <v>1976</v>
      </c>
      <c r="I97" s="6">
        <v>35310</v>
      </c>
      <c r="K97" s="5" t="s">
        <v>317</v>
      </c>
      <c r="M97" s="5">
        <v>2.1</v>
      </c>
      <c r="N97" s="5" t="s">
        <v>65</v>
      </c>
      <c r="P97" s="7">
        <v>35310</v>
      </c>
      <c r="Q97" s="5">
        <v>1996</v>
      </c>
      <c r="T97" s="5" t="s">
        <v>41</v>
      </c>
      <c r="W97" s="5" t="s">
        <v>44</v>
      </c>
      <c r="AI97" s="5" t="s">
        <v>2267</v>
      </c>
      <c r="AJ97" s="5" t="s">
        <v>278</v>
      </c>
    </row>
    <row r="98" spans="1:36" x14ac:dyDescent="0.25">
      <c r="A98" s="5" t="s">
        <v>164</v>
      </c>
      <c r="B98" s="5" t="s">
        <v>77</v>
      </c>
      <c r="C98" s="5" t="s">
        <v>109</v>
      </c>
      <c r="D98" s="5" t="s">
        <v>2107</v>
      </c>
      <c r="E98" s="5">
        <v>52.860278999999998</v>
      </c>
      <c r="F98" s="5">
        <v>9.5951920000000008</v>
      </c>
      <c r="M98" s="5">
        <v>2.1</v>
      </c>
      <c r="N98" s="5" t="s">
        <v>65</v>
      </c>
      <c r="T98" s="5" t="s">
        <v>41</v>
      </c>
      <c r="W98" s="5" t="s">
        <v>44</v>
      </c>
      <c r="AJ98" s="5" t="s">
        <v>2100</v>
      </c>
    </row>
    <row r="99" spans="1:36" x14ac:dyDescent="0.25">
      <c r="A99" s="5" t="s">
        <v>318</v>
      </c>
      <c r="B99" s="5" t="s">
        <v>77</v>
      </c>
      <c r="C99" s="5" t="s">
        <v>109</v>
      </c>
      <c r="D99" s="5" t="s">
        <v>319</v>
      </c>
      <c r="E99" s="5">
        <v>22.140792000000001</v>
      </c>
      <c r="F99" s="5">
        <v>56.021501000000001</v>
      </c>
      <c r="G99" s="6">
        <v>36462</v>
      </c>
      <c r="H99" s="6">
        <v>37060</v>
      </c>
      <c r="L99" s="5">
        <v>802</v>
      </c>
      <c r="M99" s="5">
        <v>2.0499999999999998</v>
      </c>
      <c r="N99" s="5" t="s">
        <v>65</v>
      </c>
      <c r="P99" s="7">
        <v>36954</v>
      </c>
      <c r="Q99" s="5">
        <v>2001</v>
      </c>
      <c r="T99" s="5" t="s">
        <v>116</v>
      </c>
      <c r="U99" s="5" t="s">
        <v>320</v>
      </c>
      <c r="V99" s="5" t="s">
        <v>321</v>
      </c>
      <c r="W99" s="5" t="s">
        <v>44</v>
      </c>
      <c r="AF99" s="5" t="s">
        <v>322</v>
      </c>
      <c r="AJ99" s="5" t="s">
        <v>323</v>
      </c>
    </row>
    <row r="100" spans="1:36" x14ac:dyDescent="0.25">
      <c r="A100" s="5" t="s">
        <v>250</v>
      </c>
      <c r="B100" s="5" t="s">
        <v>77</v>
      </c>
      <c r="C100" s="5" t="s">
        <v>109</v>
      </c>
      <c r="D100" s="5" t="s">
        <v>330</v>
      </c>
      <c r="E100" s="5">
        <v>52.777205000000002</v>
      </c>
      <c r="F100" s="5">
        <v>6.8642830000000004</v>
      </c>
      <c r="G100" s="5">
        <v>1977</v>
      </c>
      <c r="I100" s="6">
        <v>33284</v>
      </c>
      <c r="K100" s="5" t="s">
        <v>308</v>
      </c>
      <c r="M100" s="5">
        <v>2</v>
      </c>
      <c r="N100" s="5" t="s">
        <v>65</v>
      </c>
      <c r="P100" s="7">
        <v>33284</v>
      </c>
      <c r="Q100" s="5">
        <v>1991</v>
      </c>
      <c r="T100" s="5" t="s">
        <v>41</v>
      </c>
      <c r="W100" s="5" t="s">
        <v>44</v>
      </c>
      <c r="AI100" s="5" t="s">
        <v>2267</v>
      </c>
      <c r="AJ100" s="5" t="s">
        <v>278</v>
      </c>
    </row>
    <row r="101" spans="1:36" x14ac:dyDescent="0.25">
      <c r="A101" s="5" t="s">
        <v>51</v>
      </c>
      <c r="B101" s="5" t="s">
        <v>77</v>
      </c>
      <c r="C101" s="5" t="s">
        <v>324</v>
      </c>
      <c r="D101" s="5" t="s">
        <v>325</v>
      </c>
      <c r="E101" s="5">
        <v>31.957858999999999</v>
      </c>
      <c r="F101" s="5">
        <v>-103.13718</v>
      </c>
      <c r="G101" s="5">
        <v>1926</v>
      </c>
      <c r="I101" s="5">
        <v>1978</v>
      </c>
      <c r="J101" s="5">
        <v>1979</v>
      </c>
      <c r="L101" s="5" t="s">
        <v>2273</v>
      </c>
      <c r="M101" s="5">
        <v>2</v>
      </c>
      <c r="N101" s="5" t="s">
        <v>326</v>
      </c>
      <c r="O101" s="5">
        <v>6800</v>
      </c>
      <c r="V101" s="5">
        <v>760</v>
      </c>
      <c r="W101" s="5" t="s">
        <v>44</v>
      </c>
      <c r="AJ101" s="5" t="s">
        <v>327</v>
      </c>
    </row>
    <row r="102" spans="1:36" x14ac:dyDescent="0.25">
      <c r="A102" s="5" t="s">
        <v>123</v>
      </c>
      <c r="B102" s="5" t="s">
        <v>77</v>
      </c>
      <c r="C102" s="5" t="s">
        <v>328</v>
      </c>
      <c r="D102" s="5" t="s">
        <v>329</v>
      </c>
      <c r="E102" s="5">
        <v>54.464945999999998</v>
      </c>
      <c r="F102" s="5">
        <v>-110.27199299999999</v>
      </c>
      <c r="I102" s="5">
        <v>1984</v>
      </c>
      <c r="M102" s="5">
        <v>2</v>
      </c>
      <c r="N102" s="5" t="s">
        <v>65</v>
      </c>
      <c r="T102" s="5" t="s">
        <v>41</v>
      </c>
      <c r="W102" s="5" t="s">
        <v>44</v>
      </c>
      <c r="AJ102" s="5" t="s">
        <v>96</v>
      </c>
    </row>
    <row r="103" spans="1:36" x14ac:dyDescent="0.25">
      <c r="A103" s="5" t="s">
        <v>189</v>
      </c>
      <c r="B103" s="5" t="s">
        <v>77</v>
      </c>
      <c r="C103" s="5" t="s">
        <v>331</v>
      </c>
      <c r="D103" s="5" t="s">
        <v>190</v>
      </c>
      <c r="E103" s="5">
        <v>43.408771000000002</v>
      </c>
      <c r="F103" s="5">
        <v>-0.63539999999999996</v>
      </c>
      <c r="G103" s="5" t="s">
        <v>332</v>
      </c>
      <c r="I103" s="6"/>
      <c r="M103" s="5">
        <v>1.9</v>
      </c>
      <c r="N103" s="5" t="s">
        <v>65</v>
      </c>
      <c r="O103" s="5">
        <v>3700</v>
      </c>
      <c r="P103" s="7">
        <v>35326</v>
      </c>
      <c r="Q103" s="5">
        <v>1996</v>
      </c>
      <c r="T103" s="5" t="s">
        <v>116</v>
      </c>
      <c r="U103" s="5" t="s">
        <v>333</v>
      </c>
      <c r="V103" s="5">
        <v>1500</v>
      </c>
      <c r="W103" s="5" t="s">
        <v>44</v>
      </c>
      <c r="AJ103" s="5" t="s">
        <v>334</v>
      </c>
    </row>
    <row r="104" spans="1:36" x14ac:dyDescent="0.25">
      <c r="A104" s="5" t="s">
        <v>250</v>
      </c>
      <c r="B104" s="5" t="s">
        <v>77</v>
      </c>
      <c r="C104" s="5" t="s">
        <v>109</v>
      </c>
      <c r="D104" s="5" t="s">
        <v>335</v>
      </c>
      <c r="E104" s="5">
        <v>53.097468999999997</v>
      </c>
      <c r="F104" s="5">
        <v>6.5206549999999996</v>
      </c>
      <c r="I104" s="5" t="s">
        <v>336</v>
      </c>
      <c r="M104" s="5">
        <v>1.9</v>
      </c>
      <c r="P104" s="7" t="s">
        <v>336</v>
      </c>
      <c r="Q104" s="5">
        <v>1996</v>
      </c>
      <c r="W104" s="5" t="s">
        <v>44</v>
      </c>
      <c r="AI104" s="5" t="s">
        <v>337</v>
      </c>
      <c r="AJ104" s="5" t="s">
        <v>338</v>
      </c>
    </row>
    <row r="105" spans="1:36" x14ac:dyDescent="0.25">
      <c r="A105" s="5" t="s">
        <v>51</v>
      </c>
      <c r="B105" s="5" t="s">
        <v>77</v>
      </c>
      <c r="C105" s="5" t="s">
        <v>86</v>
      </c>
      <c r="D105" s="5" t="s">
        <v>339</v>
      </c>
      <c r="E105" s="5">
        <v>38.033883000000003</v>
      </c>
      <c r="F105" s="5">
        <v>-87.981617999999997</v>
      </c>
      <c r="I105" s="5" t="s">
        <v>340</v>
      </c>
      <c r="J105" s="5" t="s">
        <v>341</v>
      </c>
      <c r="L105" s="5">
        <v>534</v>
      </c>
      <c r="M105" s="5">
        <v>1.8</v>
      </c>
      <c r="N105" s="5" t="s">
        <v>40</v>
      </c>
      <c r="U105" s="5" t="s">
        <v>342</v>
      </c>
      <c r="V105" s="5" t="s">
        <v>343</v>
      </c>
      <c r="W105" s="5" t="s">
        <v>44</v>
      </c>
      <c r="AJ105" s="5" t="s">
        <v>344</v>
      </c>
    </row>
    <row r="106" spans="1:36" x14ac:dyDescent="0.25">
      <c r="A106" s="5" t="s">
        <v>250</v>
      </c>
      <c r="B106" s="5" t="s">
        <v>77</v>
      </c>
      <c r="C106" s="5" t="s">
        <v>109</v>
      </c>
      <c r="D106" s="5" t="s">
        <v>345</v>
      </c>
      <c r="E106" s="5">
        <v>52.707273000000001</v>
      </c>
      <c r="F106" s="5">
        <v>6.8710430000000002</v>
      </c>
      <c r="I106" s="5" t="s">
        <v>346</v>
      </c>
      <c r="M106" s="5">
        <v>1.7</v>
      </c>
      <c r="P106" s="7" t="s">
        <v>346</v>
      </c>
      <c r="Q106" s="5">
        <v>1994</v>
      </c>
      <c r="W106" s="5" t="s">
        <v>44</v>
      </c>
      <c r="AI106" s="5" t="s">
        <v>337</v>
      </c>
      <c r="AJ106" s="5" t="s">
        <v>338</v>
      </c>
    </row>
    <row r="107" spans="1:36" x14ac:dyDescent="0.25">
      <c r="A107" s="5" t="s">
        <v>347</v>
      </c>
      <c r="B107" s="5" t="s">
        <v>77</v>
      </c>
      <c r="C107" s="5" t="s">
        <v>173</v>
      </c>
      <c r="D107" s="5" t="s">
        <v>2274</v>
      </c>
      <c r="E107" s="5">
        <v>49.657434000000002</v>
      </c>
      <c r="F107" s="5">
        <v>14.048556</v>
      </c>
      <c r="L107" s="5" t="s">
        <v>348</v>
      </c>
      <c r="M107" s="5">
        <v>1.5</v>
      </c>
      <c r="N107" s="5" t="s">
        <v>65</v>
      </c>
      <c r="T107" s="5" t="s">
        <v>349</v>
      </c>
      <c r="U107" s="5" t="s">
        <v>350</v>
      </c>
      <c r="V107" s="5">
        <v>1000</v>
      </c>
      <c r="W107" s="5" t="s">
        <v>44</v>
      </c>
      <c r="AI107" s="5" t="s">
        <v>351</v>
      </c>
      <c r="AJ107" s="5" t="s">
        <v>2275</v>
      </c>
    </row>
    <row r="108" spans="1:36" x14ac:dyDescent="0.25">
      <c r="A108" s="5" t="s">
        <v>250</v>
      </c>
      <c r="B108" s="5" t="s">
        <v>77</v>
      </c>
      <c r="C108" s="5" t="s">
        <v>109</v>
      </c>
      <c r="D108" s="5" t="s">
        <v>352</v>
      </c>
      <c r="E108" s="5">
        <v>52.672792000000001</v>
      </c>
      <c r="F108" s="5">
        <v>6.8820750000000004</v>
      </c>
      <c r="I108" s="5" t="s">
        <v>353</v>
      </c>
      <c r="M108" s="5">
        <v>1.4</v>
      </c>
      <c r="P108" s="7" t="s">
        <v>353</v>
      </c>
      <c r="Q108" s="5">
        <v>2002</v>
      </c>
      <c r="W108" s="5" t="s">
        <v>44</v>
      </c>
      <c r="AI108" s="5" t="s">
        <v>337</v>
      </c>
      <c r="AJ108" s="5" t="s">
        <v>338</v>
      </c>
    </row>
    <row r="109" spans="1:36" x14ac:dyDescent="0.25">
      <c r="A109" s="5" t="s">
        <v>250</v>
      </c>
      <c r="B109" s="5" t="s">
        <v>77</v>
      </c>
      <c r="C109" s="5" t="s">
        <v>109</v>
      </c>
      <c r="D109" s="5" t="s">
        <v>354</v>
      </c>
      <c r="E109" s="5">
        <v>52.670940000000002</v>
      </c>
      <c r="F109" s="5">
        <v>6.7118390000000003</v>
      </c>
      <c r="I109" s="5" t="s">
        <v>355</v>
      </c>
      <c r="M109" s="5">
        <v>1.2</v>
      </c>
      <c r="P109" s="7" t="s">
        <v>355</v>
      </c>
      <c r="Q109" s="5">
        <v>1997</v>
      </c>
      <c r="W109" s="5" t="s">
        <v>44</v>
      </c>
      <c r="AI109" s="5" t="s">
        <v>337</v>
      </c>
      <c r="AJ109" s="5" t="s">
        <v>338</v>
      </c>
    </row>
    <row r="110" spans="1:36" x14ac:dyDescent="0.25">
      <c r="A110" s="5" t="s">
        <v>250</v>
      </c>
      <c r="B110" s="5" t="s">
        <v>77</v>
      </c>
      <c r="C110" s="5" t="s">
        <v>109</v>
      </c>
      <c r="D110" s="5" t="s">
        <v>356</v>
      </c>
      <c r="E110" s="5">
        <v>53.100118000000002</v>
      </c>
      <c r="F110" s="5">
        <v>6.1872889999999998</v>
      </c>
      <c r="I110" s="5" t="s">
        <v>357</v>
      </c>
      <c r="M110" s="5">
        <v>1</v>
      </c>
      <c r="P110" s="7" t="s">
        <v>357</v>
      </c>
      <c r="Q110" s="5">
        <v>1999</v>
      </c>
      <c r="W110" s="5" t="s">
        <v>44</v>
      </c>
      <c r="AI110" s="5" t="s">
        <v>337</v>
      </c>
      <c r="AJ110" s="5" t="s">
        <v>338</v>
      </c>
    </row>
    <row r="111" spans="1:36" x14ac:dyDescent="0.25">
      <c r="A111" s="5" t="s">
        <v>250</v>
      </c>
      <c r="B111" s="5" t="s">
        <v>77</v>
      </c>
      <c r="C111" s="5" t="s">
        <v>109</v>
      </c>
      <c r="D111" s="5" t="s">
        <v>358</v>
      </c>
      <c r="E111" s="5">
        <v>53.078127000000002</v>
      </c>
      <c r="F111" s="5">
        <v>6.5596759999999996</v>
      </c>
      <c r="I111" s="5" t="s">
        <v>359</v>
      </c>
      <c r="M111" s="5">
        <v>1</v>
      </c>
      <c r="P111" s="7" t="s">
        <v>359</v>
      </c>
      <c r="Q111" s="5">
        <v>2000</v>
      </c>
      <c r="W111" s="5" t="s">
        <v>44</v>
      </c>
      <c r="AI111" s="5" t="s">
        <v>337</v>
      </c>
      <c r="AJ111" s="5" t="s">
        <v>338</v>
      </c>
    </row>
    <row r="112" spans="1:36" x14ac:dyDescent="0.25">
      <c r="A112" s="5" t="s">
        <v>51</v>
      </c>
      <c r="B112" s="5" t="s">
        <v>77</v>
      </c>
      <c r="C112" s="5" t="s">
        <v>95</v>
      </c>
      <c r="D112" s="5" t="s">
        <v>360</v>
      </c>
      <c r="E112" s="5">
        <v>36.780066099999999</v>
      </c>
      <c r="F112" s="5">
        <v>-85.126344399999994</v>
      </c>
      <c r="G112" s="6">
        <v>34005</v>
      </c>
      <c r="H112" s="6">
        <v>34916</v>
      </c>
      <c r="L112" s="5">
        <f>110+180+3237</f>
        <v>3527</v>
      </c>
      <c r="M112" s="5">
        <v>0.9</v>
      </c>
      <c r="N112" s="5" t="s">
        <v>40</v>
      </c>
      <c r="T112" s="5" t="s">
        <v>116</v>
      </c>
      <c r="U112" s="5" t="s">
        <v>361</v>
      </c>
      <c r="V112" s="5">
        <v>300</v>
      </c>
      <c r="W112" s="5" t="s">
        <v>44</v>
      </c>
      <c r="AC112" s="5">
        <f>1600+1800+1300</f>
        <v>4700</v>
      </c>
      <c r="AD112" s="5" t="s">
        <v>92</v>
      </c>
      <c r="AJ112" s="5" t="s">
        <v>362</v>
      </c>
    </row>
    <row r="113" spans="1:36" x14ac:dyDescent="0.25">
      <c r="A113" s="5" t="s">
        <v>291</v>
      </c>
      <c r="B113" s="5" t="s">
        <v>77</v>
      </c>
      <c r="C113" s="5" t="s">
        <v>2570</v>
      </c>
      <c r="D113" s="5" t="s">
        <v>2571</v>
      </c>
      <c r="E113" s="5">
        <v>59.22</v>
      </c>
      <c r="F113" s="5">
        <v>2.4900000000000002</v>
      </c>
      <c r="G113" s="6"/>
      <c r="H113" s="6"/>
      <c r="M113" s="5">
        <v>0.8</v>
      </c>
      <c r="N113" s="5" t="s">
        <v>40</v>
      </c>
      <c r="P113" s="7" t="s">
        <v>1964</v>
      </c>
      <c r="Q113" s="5">
        <v>2015</v>
      </c>
      <c r="W113" s="5" t="s">
        <v>44</v>
      </c>
      <c r="AE113" s="5">
        <v>27.7</v>
      </c>
      <c r="AJ113" s="5" t="s">
        <v>2572</v>
      </c>
    </row>
    <row r="114" spans="1:36" x14ac:dyDescent="0.25">
      <c r="A114" s="5" t="s">
        <v>61</v>
      </c>
      <c r="B114" s="5" t="s">
        <v>77</v>
      </c>
      <c r="C114" s="5" t="s">
        <v>109</v>
      </c>
      <c r="D114" s="5" t="s">
        <v>2108</v>
      </c>
      <c r="E114" s="5">
        <v>54.200431999999999</v>
      </c>
      <c r="F114" s="5">
        <v>-0.81942199999999998</v>
      </c>
      <c r="G114" s="6" t="s">
        <v>2109</v>
      </c>
      <c r="H114" s="6"/>
      <c r="M114" s="5">
        <v>0.7</v>
      </c>
      <c r="N114" s="5" t="s">
        <v>65</v>
      </c>
      <c r="P114" s="7">
        <v>42269</v>
      </c>
      <c r="Q114" s="5">
        <v>2015</v>
      </c>
      <c r="T114" s="5" t="s">
        <v>41</v>
      </c>
      <c r="W114" s="5" t="s">
        <v>44</v>
      </c>
      <c r="AJ114" s="5" t="s">
        <v>2110</v>
      </c>
    </row>
    <row r="115" spans="1:36" x14ac:dyDescent="0.25">
      <c r="A115" s="5" t="s">
        <v>250</v>
      </c>
      <c r="B115" s="5" t="s">
        <v>77</v>
      </c>
      <c r="C115" s="5" t="s">
        <v>173</v>
      </c>
      <c r="D115" s="5" t="s">
        <v>363</v>
      </c>
      <c r="E115" s="5">
        <v>52.650573000000001</v>
      </c>
      <c r="F115" s="5">
        <v>4.716736</v>
      </c>
      <c r="M115" s="5">
        <v>0.7</v>
      </c>
      <c r="P115" s="7" t="s">
        <v>364</v>
      </c>
      <c r="Q115" s="5">
        <v>2013</v>
      </c>
      <c r="T115" s="5" t="s">
        <v>41</v>
      </c>
      <c r="V115" s="5">
        <v>2100</v>
      </c>
      <c r="W115" s="5" t="s">
        <v>44</v>
      </c>
      <c r="AJ115" s="5" t="s">
        <v>365</v>
      </c>
    </row>
    <row r="116" spans="1:36" x14ac:dyDescent="0.25">
      <c r="A116" s="5" t="s">
        <v>123</v>
      </c>
      <c r="B116" s="5" t="s">
        <v>77</v>
      </c>
      <c r="C116" s="5" t="s">
        <v>366</v>
      </c>
      <c r="D116" s="5" t="s">
        <v>367</v>
      </c>
      <c r="E116" s="5">
        <v>52.843558999999999</v>
      </c>
      <c r="F116" s="5">
        <v>-114.362673</v>
      </c>
      <c r="H116" s="6"/>
      <c r="I116" s="6"/>
      <c r="J116" s="6"/>
      <c r="L116" s="5">
        <v>1660</v>
      </c>
      <c r="M116" s="5">
        <v>-0.7</v>
      </c>
      <c r="P116" s="13"/>
      <c r="R116" s="6"/>
      <c r="T116" s="5" t="s">
        <v>368</v>
      </c>
      <c r="W116" s="5" t="s">
        <v>44</v>
      </c>
      <c r="AJ116" s="5" t="s">
        <v>369</v>
      </c>
    </row>
    <row r="117" spans="1:36" x14ac:dyDescent="0.25">
      <c r="A117" s="5" t="s">
        <v>123</v>
      </c>
      <c r="B117" s="5" t="s">
        <v>77</v>
      </c>
      <c r="C117" s="5" t="s">
        <v>366</v>
      </c>
      <c r="D117" s="5" t="s">
        <v>370</v>
      </c>
      <c r="E117" s="5">
        <v>53.109844000000002</v>
      </c>
      <c r="F117" s="5">
        <v>-115.202787</v>
      </c>
      <c r="H117" s="6"/>
      <c r="I117" s="6"/>
      <c r="J117" s="6"/>
      <c r="M117" s="5">
        <v>-1</v>
      </c>
      <c r="P117" s="13"/>
      <c r="R117" s="6"/>
      <c r="W117" s="5" t="s">
        <v>44</v>
      </c>
      <c r="AJ117" s="5" t="s">
        <v>369</v>
      </c>
    </row>
    <row r="118" spans="1:36" x14ac:dyDescent="0.25">
      <c r="A118" s="5" t="s">
        <v>123</v>
      </c>
      <c r="B118" s="5" t="s">
        <v>77</v>
      </c>
      <c r="C118" s="5" t="s">
        <v>371</v>
      </c>
      <c r="D118" s="5" t="s">
        <v>372</v>
      </c>
      <c r="E118" s="5">
        <v>49.470869999999998</v>
      </c>
      <c r="F118" s="5">
        <v>-103.708122</v>
      </c>
      <c r="G118" s="5" t="s">
        <v>373</v>
      </c>
      <c r="I118" s="5">
        <v>2003</v>
      </c>
      <c r="J118" s="5">
        <v>2010</v>
      </c>
      <c r="L118" s="5" t="s">
        <v>2276</v>
      </c>
      <c r="M118" s="5">
        <v>-1</v>
      </c>
      <c r="S118" s="5">
        <v>700</v>
      </c>
      <c r="T118" s="5" t="s">
        <v>116</v>
      </c>
      <c r="U118" s="5" t="s">
        <v>374</v>
      </c>
      <c r="V118" s="5">
        <v>1440</v>
      </c>
      <c r="W118" s="5" t="s">
        <v>44</v>
      </c>
      <c r="AA118" s="5">
        <v>39236.1</v>
      </c>
      <c r="AB118" s="5" t="s">
        <v>118</v>
      </c>
      <c r="AC118" s="5">
        <v>1900000000</v>
      </c>
      <c r="AD118" s="5" t="s">
        <v>92</v>
      </c>
      <c r="AF118" s="5">
        <v>5</v>
      </c>
      <c r="AI118" s="5" t="s">
        <v>375</v>
      </c>
      <c r="AJ118" s="5" t="s">
        <v>376</v>
      </c>
    </row>
    <row r="119" spans="1:36" x14ac:dyDescent="0.25">
      <c r="A119" s="5" t="s">
        <v>377</v>
      </c>
      <c r="B119" s="5" t="s">
        <v>77</v>
      </c>
      <c r="C119" s="5" t="s">
        <v>113</v>
      </c>
      <c r="D119" s="5" t="s">
        <v>378</v>
      </c>
      <c r="E119" s="5">
        <v>46.721434000000002</v>
      </c>
      <c r="F119" s="5">
        <v>26.480381999999999</v>
      </c>
      <c r="I119" s="5">
        <v>2013</v>
      </c>
      <c r="L119" s="5">
        <v>2620</v>
      </c>
      <c r="M119" s="5">
        <v>-1.5</v>
      </c>
      <c r="N119" s="5" t="s">
        <v>40</v>
      </c>
      <c r="W119" s="5" t="s">
        <v>44</v>
      </c>
      <c r="AJ119" s="5" t="s">
        <v>379</v>
      </c>
    </row>
    <row r="120" spans="1:36" x14ac:dyDescent="0.25">
      <c r="A120" s="5" t="s">
        <v>149</v>
      </c>
      <c r="B120" s="5" t="s">
        <v>77</v>
      </c>
      <c r="C120" s="5" t="s">
        <v>86</v>
      </c>
      <c r="D120" s="5" t="s">
        <v>380</v>
      </c>
      <c r="E120" s="5">
        <v>54.891075999999998</v>
      </c>
      <c r="F120" s="5">
        <v>51.748871000000001</v>
      </c>
      <c r="W120" s="5" t="s">
        <v>44</v>
      </c>
      <c r="AI120" s="5" t="s">
        <v>381</v>
      </c>
      <c r="AJ120" s="5" t="s">
        <v>382</v>
      </c>
    </row>
    <row r="121" spans="1:36" x14ac:dyDescent="0.25">
      <c r="A121" s="5" t="s">
        <v>51</v>
      </c>
      <c r="B121" s="5" t="s">
        <v>77</v>
      </c>
      <c r="C121" s="5" t="s">
        <v>161</v>
      </c>
      <c r="D121" s="5" t="s">
        <v>383</v>
      </c>
      <c r="E121" s="5">
        <v>29.661919000000001</v>
      </c>
      <c r="F121" s="5">
        <v>-95.232652999999999</v>
      </c>
      <c r="W121" s="5" t="s">
        <v>44</v>
      </c>
      <c r="AC121" s="5">
        <v>6250000</v>
      </c>
      <c r="AD121" s="5" t="s">
        <v>92</v>
      </c>
      <c r="AI121" s="5" t="s">
        <v>384</v>
      </c>
      <c r="AJ121" s="5" t="s">
        <v>385</v>
      </c>
    </row>
    <row r="122" spans="1:36" x14ac:dyDescent="0.25">
      <c r="A122" s="5" t="s">
        <v>51</v>
      </c>
      <c r="B122" s="5" t="s">
        <v>77</v>
      </c>
      <c r="C122" s="5" t="s">
        <v>161</v>
      </c>
      <c r="D122" s="5" t="s">
        <v>386</v>
      </c>
      <c r="E122" s="5">
        <v>29.755559000000002</v>
      </c>
      <c r="F122" s="5">
        <v>-95.260930000000002</v>
      </c>
      <c r="W122" s="5" t="s">
        <v>44</v>
      </c>
      <c r="AC122" s="5">
        <v>429000</v>
      </c>
      <c r="AD122" s="5" t="s">
        <v>92</v>
      </c>
      <c r="AI122" s="5" t="s">
        <v>384</v>
      </c>
      <c r="AJ122" s="5" t="s">
        <v>385</v>
      </c>
    </row>
    <row r="123" spans="1:36" x14ac:dyDescent="0.25">
      <c r="A123" s="5" t="s">
        <v>51</v>
      </c>
      <c r="B123" s="5" t="s">
        <v>77</v>
      </c>
      <c r="C123" s="5" t="s">
        <v>161</v>
      </c>
      <c r="D123" s="5" t="s">
        <v>387</v>
      </c>
      <c r="E123" s="5">
        <v>29.620851999999999</v>
      </c>
      <c r="F123" s="5">
        <v>-95.304744999999997</v>
      </c>
      <c r="W123" s="5" t="s">
        <v>44</v>
      </c>
      <c r="AC123" s="5">
        <v>652000</v>
      </c>
      <c r="AD123" s="5" t="s">
        <v>92</v>
      </c>
      <c r="AI123" s="5" t="s">
        <v>384</v>
      </c>
      <c r="AJ123" s="5" t="s">
        <v>385</v>
      </c>
    </row>
    <row r="124" spans="1:36" x14ac:dyDescent="0.25">
      <c r="A124" s="5" t="s">
        <v>51</v>
      </c>
      <c r="B124" s="5" t="s">
        <v>77</v>
      </c>
      <c r="C124" s="5" t="s">
        <v>161</v>
      </c>
      <c r="D124" s="5" t="s">
        <v>388</v>
      </c>
      <c r="E124" s="5">
        <v>29.587022999999999</v>
      </c>
      <c r="F124" s="5">
        <v>-95.489769999999993</v>
      </c>
      <c r="W124" s="5" t="s">
        <v>44</v>
      </c>
      <c r="AC124" s="5">
        <v>3340000</v>
      </c>
      <c r="AD124" s="5" t="s">
        <v>92</v>
      </c>
      <c r="AI124" s="5" t="s">
        <v>384</v>
      </c>
      <c r="AJ124" s="5" t="s">
        <v>385</v>
      </c>
    </row>
    <row r="125" spans="1:36" x14ac:dyDescent="0.25">
      <c r="A125" s="5" t="s">
        <v>51</v>
      </c>
      <c r="B125" s="5" t="s">
        <v>77</v>
      </c>
      <c r="C125" s="5" t="s">
        <v>161</v>
      </c>
      <c r="D125" s="5" t="s">
        <v>389</v>
      </c>
      <c r="E125" s="5">
        <v>29.521125999999999</v>
      </c>
      <c r="F125" s="5">
        <v>-95.106046000000006</v>
      </c>
      <c r="W125" s="5" t="s">
        <v>44</v>
      </c>
      <c r="AC125" s="5">
        <v>6570000</v>
      </c>
      <c r="AD125" s="5" t="s">
        <v>92</v>
      </c>
      <c r="AI125" s="5" t="s">
        <v>384</v>
      </c>
      <c r="AJ125" s="5" t="s">
        <v>385</v>
      </c>
    </row>
    <row r="126" spans="1:36" x14ac:dyDescent="0.25">
      <c r="A126" s="5" t="s">
        <v>51</v>
      </c>
      <c r="B126" s="5" t="s">
        <v>77</v>
      </c>
      <c r="C126" s="5" t="s">
        <v>161</v>
      </c>
      <c r="D126" s="5" t="s">
        <v>390</v>
      </c>
      <c r="E126" s="5">
        <v>29.658047</v>
      </c>
      <c r="F126" s="5">
        <v>-94.922077999999999</v>
      </c>
      <c r="W126" s="5" t="s">
        <v>44</v>
      </c>
      <c r="AC126" s="5">
        <v>9590000</v>
      </c>
      <c r="AD126" s="5" t="s">
        <v>92</v>
      </c>
      <c r="AI126" s="5" t="s">
        <v>384</v>
      </c>
      <c r="AJ126" s="5" t="s">
        <v>385</v>
      </c>
    </row>
    <row r="127" spans="1:36" x14ac:dyDescent="0.25">
      <c r="A127" s="5" t="s">
        <v>391</v>
      </c>
      <c r="B127" s="5" t="s">
        <v>77</v>
      </c>
      <c r="C127" s="5" t="s">
        <v>161</v>
      </c>
      <c r="D127" s="5" t="s">
        <v>392</v>
      </c>
      <c r="E127" s="5">
        <v>10.155445</v>
      </c>
      <c r="F127" s="5">
        <v>-71.250725000000003</v>
      </c>
      <c r="W127" s="5" t="s">
        <v>103</v>
      </c>
      <c r="AJ127" s="5" t="s">
        <v>393</v>
      </c>
    </row>
    <row r="128" spans="1:36" x14ac:dyDescent="0.25">
      <c r="A128" s="5" t="s">
        <v>51</v>
      </c>
      <c r="B128" s="5" t="s">
        <v>77</v>
      </c>
      <c r="C128" s="5" t="s">
        <v>366</v>
      </c>
      <c r="D128" s="5" t="s">
        <v>394</v>
      </c>
      <c r="E128" s="5">
        <v>30.247461999999999</v>
      </c>
      <c r="F128" s="5">
        <v>-96.742247000000006</v>
      </c>
      <c r="L128" s="5">
        <f>482+770</f>
        <v>1252</v>
      </c>
      <c r="S128" s="5">
        <v>800</v>
      </c>
      <c r="T128" s="5" t="s">
        <v>395</v>
      </c>
      <c r="V128" s="5">
        <v>2100</v>
      </c>
      <c r="W128" s="5" t="s">
        <v>44</v>
      </c>
      <c r="AA128" s="5">
        <v>13000</v>
      </c>
      <c r="AB128" s="5" t="s">
        <v>118</v>
      </c>
      <c r="AC128" s="5">
        <f>4000*2</f>
        <v>8000</v>
      </c>
      <c r="AD128" s="5" t="s">
        <v>92</v>
      </c>
      <c r="AE128" s="5">
        <v>21</v>
      </c>
      <c r="AI128" s="5" t="s">
        <v>396</v>
      </c>
      <c r="AJ128" s="5" t="s">
        <v>397</v>
      </c>
    </row>
    <row r="129" spans="1:36" x14ac:dyDescent="0.25">
      <c r="A129" s="5" t="s">
        <v>153</v>
      </c>
      <c r="B129" s="5" t="s">
        <v>77</v>
      </c>
      <c r="C129" s="5" t="s">
        <v>113</v>
      </c>
      <c r="D129" s="5" t="s">
        <v>398</v>
      </c>
      <c r="E129" s="5">
        <v>37.731006000000001</v>
      </c>
      <c r="F129" s="5">
        <v>119.173053</v>
      </c>
      <c r="W129" s="5" t="s">
        <v>44</v>
      </c>
      <c r="AJ129" s="5" t="s">
        <v>2628</v>
      </c>
    </row>
    <row r="130" spans="1:36" x14ac:dyDescent="0.25">
      <c r="A130" s="5" t="s">
        <v>400</v>
      </c>
      <c r="B130" s="5" t="s">
        <v>77</v>
      </c>
      <c r="C130" s="5" t="s">
        <v>209</v>
      </c>
      <c r="D130" s="5" t="s">
        <v>401</v>
      </c>
      <c r="E130" s="5">
        <v>55.477967</v>
      </c>
      <c r="F130" s="5">
        <v>5.1088129999999996</v>
      </c>
      <c r="G130" s="5">
        <v>1972</v>
      </c>
      <c r="T130" s="5" t="s">
        <v>395</v>
      </c>
      <c r="V130" s="5">
        <v>1850</v>
      </c>
      <c r="W130" s="5" t="s">
        <v>44</v>
      </c>
      <c r="AJ130" s="5" t="s">
        <v>399</v>
      </c>
    </row>
    <row r="131" spans="1:36" x14ac:dyDescent="0.25">
      <c r="A131" s="5" t="s">
        <v>51</v>
      </c>
      <c r="B131" s="5" t="s">
        <v>77</v>
      </c>
      <c r="C131" s="5" t="s">
        <v>113</v>
      </c>
      <c r="D131" s="5" t="s">
        <v>402</v>
      </c>
      <c r="E131" s="5">
        <v>28.151368000000002</v>
      </c>
      <c r="F131" s="5">
        <v>-91.870181000000002</v>
      </c>
      <c r="W131" s="5" t="s">
        <v>44</v>
      </c>
      <c r="AJ131" s="5" t="s">
        <v>399</v>
      </c>
    </row>
    <row r="132" spans="1:36" x14ac:dyDescent="0.25">
      <c r="A132" s="5" t="s">
        <v>189</v>
      </c>
      <c r="B132" s="5" t="s">
        <v>77</v>
      </c>
      <c r="C132" s="5" t="s">
        <v>109</v>
      </c>
      <c r="D132" s="5" t="s">
        <v>403</v>
      </c>
      <c r="E132" s="5">
        <v>43.294134</v>
      </c>
      <c r="F132" s="5">
        <v>-0.43957800000000002</v>
      </c>
      <c r="W132" s="5" t="s">
        <v>44</v>
      </c>
      <c r="AJ132" s="5" t="s">
        <v>399</v>
      </c>
    </row>
    <row r="133" spans="1:36" x14ac:dyDescent="0.25">
      <c r="A133" s="5" t="s">
        <v>291</v>
      </c>
      <c r="B133" s="5" t="s">
        <v>77</v>
      </c>
      <c r="D133" s="5" t="s">
        <v>404</v>
      </c>
      <c r="E133" s="5">
        <v>61.364861111111097</v>
      </c>
      <c r="F133" s="5">
        <v>2.4326583333333298</v>
      </c>
      <c r="W133" s="5" t="s">
        <v>44</v>
      </c>
      <c r="AJ133" s="5" t="s">
        <v>405</v>
      </c>
    </row>
    <row r="134" spans="1:36" x14ac:dyDescent="0.25">
      <c r="A134" s="5" t="s">
        <v>291</v>
      </c>
      <c r="B134" s="5" t="s">
        <v>77</v>
      </c>
      <c r="C134" s="5" t="s">
        <v>95</v>
      </c>
      <c r="D134" s="5" t="s">
        <v>406</v>
      </c>
      <c r="E134" s="5">
        <v>56.278163999999997</v>
      </c>
      <c r="F134" s="5">
        <v>3.3953310000000001</v>
      </c>
      <c r="I134" s="6">
        <v>35947</v>
      </c>
      <c r="J134" s="6">
        <v>36003</v>
      </c>
      <c r="L134" s="5">
        <v>328</v>
      </c>
      <c r="U134" s="5" t="s">
        <v>407</v>
      </c>
      <c r="W134" s="5" t="s">
        <v>44</v>
      </c>
      <c r="AJ134" s="5" t="s">
        <v>408</v>
      </c>
    </row>
    <row r="135" spans="1:36" x14ac:dyDescent="0.25">
      <c r="A135" s="5" t="s">
        <v>250</v>
      </c>
      <c r="B135" s="5" t="s">
        <v>77</v>
      </c>
      <c r="C135" s="5" t="s">
        <v>409</v>
      </c>
      <c r="D135" s="5" t="s">
        <v>410</v>
      </c>
      <c r="E135" s="5">
        <v>53.093159</v>
      </c>
      <c r="F135" s="5">
        <v>6.4299910000000002</v>
      </c>
      <c r="W135" s="5" t="s">
        <v>44</v>
      </c>
      <c r="AJ135" s="5" t="s">
        <v>365</v>
      </c>
    </row>
    <row r="136" spans="1:36" x14ac:dyDescent="0.25">
      <c r="A136" s="5" t="s">
        <v>250</v>
      </c>
      <c r="B136" s="5" t="s">
        <v>77</v>
      </c>
      <c r="C136" s="5" t="s">
        <v>409</v>
      </c>
      <c r="D136" s="5" t="s">
        <v>411</v>
      </c>
      <c r="E136" s="5">
        <v>53.277873</v>
      </c>
      <c r="F136" s="5">
        <v>6.3126810000000004</v>
      </c>
      <c r="W136" s="5" t="s">
        <v>44</v>
      </c>
      <c r="AJ136" s="5" t="s">
        <v>365</v>
      </c>
    </row>
    <row r="137" spans="1:36" x14ac:dyDescent="0.25">
      <c r="A137" s="5" t="s">
        <v>1760</v>
      </c>
      <c r="B137" s="5" t="s">
        <v>77</v>
      </c>
      <c r="C137" s="5" t="s">
        <v>95</v>
      </c>
      <c r="D137" s="5" t="s">
        <v>1954</v>
      </c>
      <c r="E137" s="5">
        <v>41.730607999999997</v>
      </c>
      <c r="F137" s="5">
        <v>45.096905</v>
      </c>
      <c r="G137" s="5">
        <v>1970</v>
      </c>
      <c r="H137" s="5">
        <v>1989</v>
      </c>
      <c r="W137" s="5" t="s">
        <v>103</v>
      </c>
      <c r="AC137" s="5">
        <f>5*10^10</f>
        <v>50000000000</v>
      </c>
      <c r="AD137" s="5" t="s">
        <v>67</v>
      </c>
      <c r="AJ137" s="5" t="s">
        <v>1955</v>
      </c>
    </row>
    <row r="138" spans="1:36" ht="15" customHeight="1" x14ac:dyDescent="0.25">
      <c r="A138" s="5" t="s">
        <v>164</v>
      </c>
      <c r="B138" s="5" t="s">
        <v>77</v>
      </c>
      <c r="C138" s="5" t="s">
        <v>109</v>
      </c>
      <c r="D138" s="5" t="s">
        <v>2111</v>
      </c>
      <c r="E138" s="5">
        <v>52.787840000000003</v>
      </c>
      <c r="F138" s="5">
        <v>8.4306269999999994</v>
      </c>
      <c r="T138" s="5" t="s">
        <v>41</v>
      </c>
      <c r="W138" s="5" t="s">
        <v>44</v>
      </c>
      <c r="AJ138" s="5" t="s">
        <v>2100</v>
      </c>
    </row>
    <row r="139" spans="1:36" ht="15" customHeight="1" x14ac:dyDescent="0.25">
      <c r="A139" s="5" t="s">
        <v>164</v>
      </c>
      <c r="B139" s="5" t="s">
        <v>77</v>
      </c>
      <c r="C139" s="5" t="s">
        <v>109</v>
      </c>
      <c r="D139" s="5" t="s">
        <v>2112</v>
      </c>
      <c r="E139" s="5">
        <v>52.781896000000003</v>
      </c>
      <c r="F139" s="5">
        <v>7.9893640000000001</v>
      </c>
      <c r="T139" s="5" t="s">
        <v>41</v>
      </c>
      <c r="W139" s="5" t="s">
        <v>44</v>
      </c>
      <c r="AJ139" s="5" t="s">
        <v>2100</v>
      </c>
    </row>
    <row r="140" spans="1:36" ht="15" customHeight="1" x14ac:dyDescent="0.25">
      <c r="A140" s="5" t="s">
        <v>164</v>
      </c>
      <c r="B140" s="5" t="s">
        <v>77</v>
      </c>
      <c r="C140" s="5" t="s">
        <v>109</v>
      </c>
      <c r="D140" s="5" t="s">
        <v>2113</v>
      </c>
      <c r="E140" s="5">
        <v>52.955002</v>
      </c>
      <c r="F140" s="5">
        <v>10.127833000000001</v>
      </c>
      <c r="T140" s="5" t="s">
        <v>41</v>
      </c>
      <c r="W140" s="5" t="s">
        <v>44</v>
      </c>
      <c r="AJ140" s="5" t="s">
        <v>2100</v>
      </c>
    </row>
    <row r="141" spans="1:36" ht="15" customHeight="1" x14ac:dyDescent="0.25">
      <c r="A141" s="5" t="s">
        <v>164</v>
      </c>
      <c r="B141" s="5" t="s">
        <v>77</v>
      </c>
      <c r="C141" s="5" t="s">
        <v>109</v>
      </c>
      <c r="D141" s="5" t="s">
        <v>2114</v>
      </c>
      <c r="E141" s="5">
        <v>52.944989999999997</v>
      </c>
      <c r="F141" s="5">
        <v>8.8341989999999999</v>
      </c>
      <c r="T141" s="5" t="s">
        <v>41</v>
      </c>
      <c r="W141" s="5" t="s">
        <v>44</v>
      </c>
      <c r="AJ141" s="5" t="s">
        <v>2100</v>
      </c>
    </row>
    <row r="142" spans="1:36" ht="15" customHeight="1" x14ac:dyDescent="0.25">
      <c r="A142" s="5" t="s">
        <v>164</v>
      </c>
      <c r="B142" s="5" t="s">
        <v>77</v>
      </c>
      <c r="C142" s="5" t="s">
        <v>109</v>
      </c>
      <c r="D142" s="5" t="s">
        <v>2115</v>
      </c>
      <c r="E142" s="5">
        <v>52.516660999999999</v>
      </c>
      <c r="F142" s="5">
        <v>8.8833529999999996</v>
      </c>
      <c r="T142" s="5" t="s">
        <v>41</v>
      </c>
      <c r="W142" s="5" t="s">
        <v>44</v>
      </c>
      <c r="AJ142" s="5" t="s">
        <v>2100</v>
      </c>
    </row>
    <row r="143" spans="1:36" ht="15" customHeight="1" x14ac:dyDescent="0.25">
      <c r="A143" s="5" t="s">
        <v>164</v>
      </c>
      <c r="B143" s="5" t="s">
        <v>77</v>
      </c>
      <c r="C143" s="5" t="s">
        <v>109</v>
      </c>
      <c r="D143" s="5" t="s">
        <v>2116</v>
      </c>
      <c r="E143" s="5">
        <v>52.566172000000002</v>
      </c>
      <c r="F143" s="5">
        <v>9.2521079999999998</v>
      </c>
      <c r="T143" s="5" t="s">
        <v>41</v>
      </c>
      <c r="W143" s="5" t="s">
        <v>44</v>
      </c>
      <c r="AJ143" s="5" t="s">
        <v>2100</v>
      </c>
    </row>
    <row r="144" spans="1:36" ht="15" customHeight="1" x14ac:dyDescent="0.25">
      <c r="A144" s="5" t="s">
        <v>51</v>
      </c>
      <c r="B144" s="5" t="s">
        <v>77</v>
      </c>
      <c r="C144" s="5" t="s">
        <v>95</v>
      </c>
      <c r="D144" s="5" t="s">
        <v>2434</v>
      </c>
      <c r="E144" s="5">
        <v>34.419730999999999</v>
      </c>
      <c r="F144" s="5">
        <v>-119.69953599999999</v>
      </c>
      <c r="P144" s="5">
        <v>1925</v>
      </c>
      <c r="Q144" s="5">
        <v>1925</v>
      </c>
      <c r="W144" s="5" t="s">
        <v>90</v>
      </c>
      <c r="AJ144" s="5" t="s">
        <v>2426</v>
      </c>
    </row>
    <row r="145" spans="1:36" ht="15" customHeight="1" x14ac:dyDescent="0.25">
      <c r="A145" s="5" t="s">
        <v>51</v>
      </c>
      <c r="B145" s="5" t="s">
        <v>77</v>
      </c>
      <c r="C145" s="5" t="s">
        <v>95</v>
      </c>
      <c r="D145" s="5" t="s">
        <v>2435</v>
      </c>
      <c r="E145" s="5">
        <v>34.272984000000001</v>
      </c>
      <c r="F145" s="5">
        <v>-119.247974</v>
      </c>
      <c r="P145" s="5">
        <v>1927</v>
      </c>
      <c r="Q145" s="5">
        <v>1927</v>
      </c>
      <c r="W145" s="5" t="s">
        <v>90</v>
      </c>
      <c r="AJ145" s="5" t="s">
        <v>2426</v>
      </c>
    </row>
    <row r="146" spans="1:36" ht="15" customHeight="1" x14ac:dyDescent="0.25">
      <c r="A146" s="5" t="s">
        <v>51</v>
      </c>
      <c r="B146" s="5" t="s">
        <v>77</v>
      </c>
      <c r="C146" s="5" t="s">
        <v>95</v>
      </c>
      <c r="D146" s="5" t="s">
        <v>2436</v>
      </c>
      <c r="P146" s="5">
        <v>1952</v>
      </c>
      <c r="Q146" s="5">
        <v>1952</v>
      </c>
      <c r="W146" s="5" t="s">
        <v>90</v>
      </c>
      <c r="AJ146" s="5" t="s">
        <v>2426</v>
      </c>
    </row>
    <row r="147" spans="1:36" ht="15" customHeight="1" x14ac:dyDescent="0.25">
      <c r="A147" s="5" t="s">
        <v>153</v>
      </c>
      <c r="B147" s="5" t="s">
        <v>77</v>
      </c>
      <c r="D147" s="5" t="s">
        <v>2629</v>
      </c>
      <c r="P147" s="5"/>
      <c r="W147" s="5" t="s">
        <v>44</v>
      </c>
      <c r="AJ147" s="5" t="s">
        <v>2630</v>
      </c>
    </row>
    <row r="148" spans="1:36" x14ac:dyDescent="0.25">
      <c r="A148" s="5" t="s">
        <v>412</v>
      </c>
      <c r="B148" s="5" t="s">
        <v>413</v>
      </c>
      <c r="C148" s="5" t="s">
        <v>414</v>
      </c>
      <c r="D148" s="5" t="s">
        <v>415</v>
      </c>
      <c r="E148" s="5">
        <v>42.666666999999997</v>
      </c>
      <c r="F148" s="5">
        <v>21.166667</v>
      </c>
      <c r="G148" s="6">
        <v>36243</v>
      </c>
      <c r="W148" s="5" t="s">
        <v>73</v>
      </c>
      <c r="AI148" s="5" t="s">
        <v>2277</v>
      </c>
      <c r="AJ148" s="5" t="s">
        <v>416</v>
      </c>
    </row>
    <row r="149" spans="1:36" x14ac:dyDescent="0.25">
      <c r="A149" s="5" t="s">
        <v>417</v>
      </c>
      <c r="B149" s="5" t="s">
        <v>413</v>
      </c>
      <c r="C149" s="5" t="s">
        <v>414</v>
      </c>
      <c r="D149" s="5" t="s">
        <v>418</v>
      </c>
      <c r="E149" s="5">
        <v>33.333333000000003</v>
      </c>
      <c r="F149" s="5">
        <v>44.383333</v>
      </c>
      <c r="G149" s="6">
        <v>33255</v>
      </c>
      <c r="W149" s="5" t="s">
        <v>73</v>
      </c>
      <c r="AI149" s="5" t="s">
        <v>2277</v>
      </c>
      <c r="AJ149" s="5" t="s">
        <v>416</v>
      </c>
    </row>
    <row r="150" spans="1:36" x14ac:dyDescent="0.25">
      <c r="A150" s="5" t="s">
        <v>419</v>
      </c>
      <c r="B150" s="5" t="s">
        <v>413</v>
      </c>
      <c r="C150" s="5" t="s">
        <v>414</v>
      </c>
      <c r="D150" s="5" t="s">
        <v>420</v>
      </c>
      <c r="E150" s="5">
        <v>34.116667</v>
      </c>
      <c r="F150" s="5">
        <v>70.216667000000001</v>
      </c>
      <c r="G150" s="6">
        <v>37144</v>
      </c>
      <c r="W150" s="5" t="s">
        <v>90</v>
      </c>
      <c r="AI150" s="5" t="s">
        <v>2277</v>
      </c>
      <c r="AJ150" s="5" t="s">
        <v>416</v>
      </c>
    </row>
    <row r="151" spans="1:36" x14ac:dyDescent="0.25">
      <c r="A151" s="5" t="s">
        <v>417</v>
      </c>
      <c r="B151" s="5" t="s">
        <v>413</v>
      </c>
      <c r="C151" s="5" t="s">
        <v>414</v>
      </c>
      <c r="D151" s="5" t="s">
        <v>421</v>
      </c>
      <c r="E151" s="5">
        <v>35.459876999999999</v>
      </c>
      <c r="F151" s="5">
        <v>44.381810000000002</v>
      </c>
      <c r="G151" s="6">
        <v>37699</v>
      </c>
      <c r="W151" s="5" t="s">
        <v>73</v>
      </c>
      <c r="AI151" s="5" t="s">
        <v>2277</v>
      </c>
      <c r="AJ151" s="5" t="s">
        <v>416</v>
      </c>
    </row>
    <row r="152" spans="1:36" x14ac:dyDescent="0.25">
      <c r="A152" s="5" t="s">
        <v>153</v>
      </c>
      <c r="B152" s="5" t="s">
        <v>426</v>
      </c>
      <c r="C152" s="5" t="s">
        <v>427</v>
      </c>
      <c r="D152" s="5" t="s">
        <v>2233</v>
      </c>
      <c r="E152" s="5">
        <v>28.210999999999999</v>
      </c>
      <c r="F152" s="5">
        <v>104.93385600000001</v>
      </c>
      <c r="G152" s="6" t="s">
        <v>2234</v>
      </c>
      <c r="H152" s="6">
        <v>43478</v>
      </c>
      <c r="M152" s="5">
        <v>5.2</v>
      </c>
      <c r="N152" s="5" t="s">
        <v>40</v>
      </c>
      <c r="O152" s="5">
        <v>3090</v>
      </c>
      <c r="P152" s="7">
        <v>43450</v>
      </c>
      <c r="Q152" s="5">
        <v>2018</v>
      </c>
      <c r="T152" s="5" t="s">
        <v>433</v>
      </c>
      <c r="U152" s="5" t="s">
        <v>131</v>
      </c>
      <c r="W152" s="5" t="s">
        <v>44</v>
      </c>
      <c r="AJ152" s="5" t="s">
        <v>2631</v>
      </c>
    </row>
    <row r="153" spans="1:36" x14ac:dyDescent="0.25">
      <c r="A153" s="5" t="s">
        <v>2621</v>
      </c>
      <c r="B153" s="5" t="s">
        <v>426</v>
      </c>
      <c r="C153" s="5" t="s">
        <v>427</v>
      </c>
      <c r="D153" s="5" t="s">
        <v>2632</v>
      </c>
      <c r="E153" s="5">
        <v>-38.569099999999999</v>
      </c>
      <c r="F153" s="5">
        <v>-68.998199999999997</v>
      </c>
      <c r="G153" s="6" t="s">
        <v>2633</v>
      </c>
      <c r="H153" s="6"/>
      <c r="M153" s="5">
        <v>5</v>
      </c>
      <c r="N153" s="5" t="s">
        <v>40</v>
      </c>
      <c r="O153" s="5">
        <v>1200</v>
      </c>
      <c r="P153" s="7">
        <v>43531</v>
      </c>
      <c r="Q153" s="5">
        <v>2019</v>
      </c>
      <c r="T153" s="5" t="s">
        <v>433</v>
      </c>
      <c r="V153" s="5">
        <v>3000</v>
      </c>
      <c r="W153" s="5" t="s">
        <v>44</v>
      </c>
      <c r="AI153" s="5" t="s">
        <v>2624</v>
      </c>
      <c r="AJ153" s="5" t="s">
        <v>2625</v>
      </c>
    </row>
    <row r="154" spans="1:36" x14ac:dyDescent="0.25">
      <c r="A154" s="5" t="s">
        <v>153</v>
      </c>
      <c r="B154" s="5" t="s">
        <v>426</v>
      </c>
      <c r="C154" s="5" t="s">
        <v>427</v>
      </c>
      <c r="D154" s="5" t="s">
        <v>2235</v>
      </c>
      <c r="E154" s="5">
        <v>28.195817999999999</v>
      </c>
      <c r="F154" s="5">
        <v>104.69561899999999</v>
      </c>
      <c r="G154" s="6" t="s">
        <v>2236</v>
      </c>
      <c r="L154" s="5" t="s">
        <v>2634</v>
      </c>
      <c r="M154" s="5">
        <v>4.8</v>
      </c>
      <c r="N154" s="5" t="s">
        <v>40</v>
      </c>
      <c r="O154" s="5">
        <v>1840</v>
      </c>
      <c r="P154" s="7">
        <v>43468</v>
      </c>
      <c r="Q154" s="5">
        <v>2019</v>
      </c>
      <c r="T154" s="5" t="s">
        <v>433</v>
      </c>
      <c r="U154" s="5" t="s">
        <v>131</v>
      </c>
      <c r="W154" s="5" t="s">
        <v>44</v>
      </c>
      <c r="AJ154" s="5" t="s">
        <v>2631</v>
      </c>
    </row>
    <row r="155" spans="1:36" x14ac:dyDescent="0.25">
      <c r="A155" s="5" t="s">
        <v>153</v>
      </c>
      <c r="B155" s="5" t="s">
        <v>426</v>
      </c>
      <c r="C155" s="5" t="s">
        <v>427</v>
      </c>
      <c r="D155" s="5" t="s">
        <v>2237</v>
      </c>
      <c r="E155" s="5">
        <v>28.130039</v>
      </c>
      <c r="F155" s="5">
        <v>104.75280100000001</v>
      </c>
      <c r="G155" s="6" t="s">
        <v>55</v>
      </c>
      <c r="I155" s="5" t="s">
        <v>55</v>
      </c>
      <c r="L155" s="5" t="s">
        <v>2278</v>
      </c>
      <c r="M155" s="5">
        <v>4.67</v>
      </c>
      <c r="N155" s="5" t="s">
        <v>40</v>
      </c>
      <c r="O155" s="5">
        <v>1800</v>
      </c>
      <c r="P155" s="7">
        <v>42763</v>
      </c>
      <c r="Q155" s="5">
        <v>2017</v>
      </c>
      <c r="S155" s="5" t="s">
        <v>2238</v>
      </c>
      <c r="T155" s="5" t="s">
        <v>433</v>
      </c>
      <c r="U155" s="5" t="s">
        <v>657</v>
      </c>
      <c r="V155" s="5" t="s">
        <v>2239</v>
      </c>
      <c r="W155" s="5" t="s">
        <v>44</v>
      </c>
      <c r="AA155" s="5" t="s">
        <v>1956</v>
      </c>
      <c r="AB155" s="5" t="s">
        <v>1957</v>
      </c>
      <c r="AC155" s="5" t="s">
        <v>2240</v>
      </c>
      <c r="AD155" s="5" t="s">
        <v>92</v>
      </c>
      <c r="AE155" s="5" t="s">
        <v>1958</v>
      </c>
      <c r="AI155" s="5" t="s">
        <v>2241</v>
      </c>
      <c r="AJ155" s="5" t="s">
        <v>2635</v>
      </c>
    </row>
    <row r="156" spans="1:36" ht="15" customHeight="1" x14ac:dyDescent="0.25">
      <c r="A156" s="5" t="s">
        <v>123</v>
      </c>
      <c r="B156" s="5" t="s">
        <v>426</v>
      </c>
      <c r="C156" s="5" t="s">
        <v>427</v>
      </c>
      <c r="D156" s="5" t="s">
        <v>428</v>
      </c>
      <c r="E156" s="5">
        <v>57.012999999999998</v>
      </c>
      <c r="F156" s="5">
        <v>-122.154</v>
      </c>
      <c r="G156" s="6">
        <v>42227</v>
      </c>
      <c r="H156" s="6">
        <v>42255</v>
      </c>
      <c r="K156" s="5" t="s">
        <v>2490</v>
      </c>
      <c r="L156" s="5">
        <v>323</v>
      </c>
      <c r="M156" s="5">
        <v>4.5999999999999996</v>
      </c>
      <c r="N156" s="5" t="s">
        <v>40</v>
      </c>
      <c r="O156" s="5" t="s">
        <v>429</v>
      </c>
      <c r="P156" s="7">
        <v>42233</v>
      </c>
      <c r="Q156" s="5">
        <v>2015</v>
      </c>
      <c r="R156" s="5">
        <v>500</v>
      </c>
      <c r="T156" s="5" t="s">
        <v>430</v>
      </c>
      <c r="U156" s="5" t="s">
        <v>431</v>
      </c>
      <c r="V156" s="5">
        <v>1900</v>
      </c>
      <c r="W156" s="5" t="s">
        <v>44</v>
      </c>
      <c r="AC156" s="5">
        <v>65000</v>
      </c>
      <c r="AD156" s="5" t="s">
        <v>92</v>
      </c>
      <c r="AG156" s="5">
        <v>0.56000000000000005</v>
      </c>
      <c r="AJ156" s="5" t="s">
        <v>2549</v>
      </c>
    </row>
    <row r="157" spans="1:36" ht="15" customHeight="1" x14ac:dyDescent="0.25">
      <c r="A157" s="5" t="s">
        <v>153</v>
      </c>
      <c r="B157" s="5" t="s">
        <v>426</v>
      </c>
      <c r="C157" s="5" t="s">
        <v>427</v>
      </c>
      <c r="D157" s="5" t="s">
        <v>2397</v>
      </c>
      <c r="E157" s="5">
        <v>29.5</v>
      </c>
      <c r="F157" s="5">
        <v>104.63</v>
      </c>
      <c r="G157" s="6"/>
      <c r="H157" s="6"/>
      <c r="M157" s="5">
        <v>4.5</v>
      </c>
      <c r="N157" s="5" t="s">
        <v>40</v>
      </c>
      <c r="O157" s="5">
        <v>3500</v>
      </c>
      <c r="P157" s="7">
        <v>43521</v>
      </c>
      <c r="Q157" s="5">
        <v>2019</v>
      </c>
      <c r="T157" s="5" t="s">
        <v>433</v>
      </c>
      <c r="V157" s="5">
        <v>2700</v>
      </c>
      <c r="W157" s="5" t="s">
        <v>44</v>
      </c>
      <c r="AI157" s="5" t="s">
        <v>2491</v>
      </c>
      <c r="AJ157" s="5" t="s">
        <v>2636</v>
      </c>
    </row>
    <row r="158" spans="1:36" ht="15" customHeight="1" x14ac:dyDescent="0.25">
      <c r="A158" s="5" t="s">
        <v>123</v>
      </c>
      <c r="B158" s="5" t="s">
        <v>426</v>
      </c>
      <c r="C158" s="5" t="s">
        <v>427</v>
      </c>
      <c r="D158" s="5" t="s">
        <v>432</v>
      </c>
      <c r="E158" s="5">
        <v>57.564</v>
      </c>
      <c r="F158" s="5">
        <v>-122.94199999999999</v>
      </c>
      <c r="M158" s="5">
        <v>4.4000000000000004</v>
      </c>
      <c r="N158" s="5" t="s">
        <v>40</v>
      </c>
      <c r="P158" s="7">
        <v>41855</v>
      </c>
      <c r="Q158" s="5">
        <v>2014</v>
      </c>
      <c r="T158" s="5" t="s">
        <v>433</v>
      </c>
      <c r="W158" s="5" t="s">
        <v>44</v>
      </c>
      <c r="AJ158" s="5" t="s">
        <v>2591</v>
      </c>
    </row>
    <row r="159" spans="1:36" ht="15" customHeight="1" x14ac:dyDescent="0.25">
      <c r="A159" s="5" t="s">
        <v>123</v>
      </c>
      <c r="B159" s="5" t="s">
        <v>426</v>
      </c>
      <c r="C159" s="5" t="s">
        <v>427</v>
      </c>
      <c r="D159" s="5" t="s">
        <v>2117</v>
      </c>
      <c r="E159" s="5">
        <v>56.100310999999998</v>
      </c>
      <c r="F159" s="5">
        <v>-120.899253</v>
      </c>
      <c r="G159" s="6"/>
      <c r="H159" s="6"/>
      <c r="M159" s="5">
        <v>4.2</v>
      </c>
      <c r="N159" s="5" t="s">
        <v>40</v>
      </c>
      <c r="O159" s="5">
        <v>4500</v>
      </c>
      <c r="P159" s="7">
        <v>43433</v>
      </c>
      <c r="Q159" s="5">
        <v>2018</v>
      </c>
      <c r="T159" s="5" t="s">
        <v>433</v>
      </c>
      <c r="U159" s="5" t="s">
        <v>2637</v>
      </c>
      <c r="V159" s="5">
        <v>3000</v>
      </c>
      <c r="W159" s="5" t="s">
        <v>44</v>
      </c>
      <c r="AC159" s="5">
        <v>14000</v>
      </c>
      <c r="AD159" s="5" t="s">
        <v>92</v>
      </c>
      <c r="AI159" s="5" t="s">
        <v>2638</v>
      </c>
      <c r="AJ159" t="s">
        <v>2639</v>
      </c>
    </row>
    <row r="160" spans="1:36" ht="15" customHeight="1" x14ac:dyDescent="0.25">
      <c r="A160" s="5" t="s">
        <v>123</v>
      </c>
      <c r="B160" s="5" t="s">
        <v>426</v>
      </c>
      <c r="C160" s="5" t="s">
        <v>427</v>
      </c>
      <c r="D160" s="5" t="s">
        <v>434</v>
      </c>
      <c r="E160" s="5">
        <v>56.079697000000003</v>
      </c>
      <c r="F160" s="5">
        <v>-120.931332</v>
      </c>
      <c r="G160" s="6"/>
      <c r="H160" s="6"/>
      <c r="I160" s="6">
        <v>41421</v>
      </c>
      <c r="J160" s="6">
        <v>41422</v>
      </c>
      <c r="L160" s="5">
        <v>8</v>
      </c>
      <c r="M160" s="5">
        <v>4.2</v>
      </c>
      <c r="N160" s="5" t="s">
        <v>40</v>
      </c>
      <c r="P160" s="7">
        <v>41421</v>
      </c>
      <c r="Q160" s="5">
        <v>2013</v>
      </c>
      <c r="R160" s="6"/>
      <c r="S160" s="5">
        <v>3000</v>
      </c>
      <c r="T160" s="5" t="s">
        <v>433</v>
      </c>
      <c r="W160" s="5" t="s">
        <v>44</v>
      </c>
      <c r="AA160" s="10"/>
      <c r="AJ160" s="5" t="s">
        <v>435</v>
      </c>
    </row>
    <row r="161" spans="1:36" ht="15" customHeight="1" x14ac:dyDescent="0.25">
      <c r="A161" s="5" t="s">
        <v>51</v>
      </c>
      <c r="B161" s="5" t="s">
        <v>426</v>
      </c>
      <c r="C161" s="5" t="s">
        <v>427</v>
      </c>
      <c r="D161" s="5" t="s">
        <v>2118</v>
      </c>
      <c r="E161" s="5">
        <v>35.880000000000003</v>
      </c>
      <c r="F161" s="5">
        <v>-100.5</v>
      </c>
      <c r="H161" s="6"/>
      <c r="I161" s="5">
        <v>2013</v>
      </c>
      <c r="J161" s="5">
        <v>2015</v>
      </c>
      <c r="L161" s="5">
        <v>8</v>
      </c>
      <c r="M161" s="5">
        <v>4.2</v>
      </c>
      <c r="N161" s="5" t="s">
        <v>2119</v>
      </c>
      <c r="P161" s="14">
        <v>2014</v>
      </c>
      <c r="Q161" s="5">
        <v>2014</v>
      </c>
      <c r="R161" s="6"/>
      <c r="W161" s="5" t="s">
        <v>44</v>
      </c>
      <c r="AI161" s="5" t="s">
        <v>2120</v>
      </c>
      <c r="AJ161" s="5" t="s">
        <v>2121</v>
      </c>
    </row>
    <row r="162" spans="1:36" ht="15" customHeight="1" x14ac:dyDescent="0.25">
      <c r="A162" s="5" t="s">
        <v>123</v>
      </c>
      <c r="B162" s="5" t="s">
        <v>426</v>
      </c>
      <c r="C162" s="5" t="s">
        <v>427</v>
      </c>
      <c r="D162" s="5" t="s">
        <v>2406</v>
      </c>
      <c r="E162" s="5">
        <v>52.217551999999998</v>
      </c>
      <c r="F162" s="5">
        <v>-114.109443</v>
      </c>
      <c r="G162" s="6"/>
      <c r="H162" s="6"/>
      <c r="I162" s="6"/>
      <c r="J162" s="6"/>
      <c r="L162" s="5">
        <v>101</v>
      </c>
      <c r="M162" s="5">
        <v>4.18</v>
      </c>
      <c r="N162" s="5" t="s">
        <v>65</v>
      </c>
      <c r="O162" s="5">
        <v>2627</v>
      </c>
      <c r="P162" s="7">
        <v>43528</v>
      </c>
      <c r="Q162" s="5">
        <v>2019</v>
      </c>
      <c r="R162" s="6"/>
      <c r="T162" s="5" t="s">
        <v>433</v>
      </c>
      <c r="W162" s="5" t="s">
        <v>44</v>
      </c>
      <c r="AA162" s="10"/>
      <c r="AI162" s="5" t="s">
        <v>2407</v>
      </c>
      <c r="AJ162" s="5" t="s">
        <v>2408</v>
      </c>
    </row>
    <row r="163" spans="1:36" ht="15" customHeight="1" x14ac:dyDescent="0.25">
      <c r="A163" s="5" t="s">
        <v>123</v>
      </c>
      <c r="B163" s="5" t="s">
        <v>426</v>
      </c>
      <c r="C163" s="5" t="s">
        <v>427</v>
      </c>
      <c r="D163" s="5" t="s">
        <v>1959</v>
      </c>
      <c r="E163" s="5">
        <v>54.392986000000001</v>
      </c>
      <c r="F163" s="5">
        <v>-117.260448</v>
      </c>
      <c r="G163" s="6">
        <v>42373</v>
      </c>
      <c r="H163" s="6">
        <v>42381</v>
      </c>
      <c r="I163" s="6">
        <v>42374</v>
      </c>
      <c r="J163" s="6"/>
      <c r="L163" s="5" t="s">
        <v>2492</v>
      </c>
      <c r="M163" s="5">
        <v>4.0999999999999996</v>
      </c>
      <c r="N163" s="5" t="s">
        <v>40</v>
      </c>
      <c r="P163" s="7">
        <v>42381</v>
      </c>
      <c r="Q163" s="5">
        <v>2016</v>
      </c>
      <c r="T163" s="5" t="s">
        <v>433</v>
      </c>
      <c r="U163" s="5" t="s">
        <v>459</v>
      </c>
      <c r="V163" s="5">
        <v>3410</v>
      </c>
      <c r="W163" s="5" t="s">
        <v>44</v>
      </c>
      <c r="AC163" s="5">
        <v>31238</v>
      </c>
      <c r="AD163" s="5" t="s">
        <v>92</v>
      </c>
      <c r="AJ163" s="5" t="s">
        <v>2493</v>
      </c>
    </row>
    <row r="164" spans="1:36" ht="15" customHeight="1" x14ac:dyDescent="0.35">
      <c r="A164" s="5" t="s">
        <v>123</v>
      </c>
      <c r="B164" s="5" t="s">
        <v>426</v>
      </c>
      <c r="C164" s="5" t="s">
        <v>427</v>
      </c>
      <c r="D164" s="5" t="s">
        <v>1961</v>
      </c>
      <c r="E164" s="5">
        <v>54.438115000000003</v>
      </c>
      <c r="F164" s="5">
        <v>-117.34039300000001</v>
      </c>
      <c r="G164" s="6">
        <v>41990</v>
      </c>
      <c r="H164" s="6">
        <v>42012</v>
      </c>
      <c r="I164" s="6">
        <v>41996</v>
      </c>
      <c r="J164" s="6">
        <v>42094</v>
      </c>
      <c r="L164" s="5">
        <v>115</v>
      </c>
      <c r="M164" s="5">
        <v>3.9</v>
      </c>
      <c r="N164" s="5" t="s">
        <v>40</v>
      </c>
      <c r="O164" s="5">
        <v>3910</v>
      </c>
      <c r="P164" s="7">
        <v>42027</v>
      </c>
      <c r="Q164" s="5">
        <v>2015</v>
      </c>
      <c r="S164" s="5">
        <v>6000</v>
      </c>
      <c r="T164" s="5" t="s">
        <v>433</v>
      </c>
      <c r="U164" s="5" t="s">
        <v>436</v>
      </c>
      <c r="V164" s="5">
        <v>3400</v>
      </c>
      <c r="W164" s="5" t="s">
        <v>44</v>
      </c>
      <c r="AA164" s="5">
        <v>183.3</v>
      </c>
      <c r="AB164" s="5" t="s">
        <v>118</v>
      </c>
      <c r="AC164" s="5">
        <v>59636.5</v>
      </c>
      <c r="AD164" s="5" t="s">
        <v>92</v>
      </c>
      <c r="AE164" s="5">
        <v>75.3</v>
      </c>
      <c r="AI164" s="5" t="s">
        <v>2279</v>
      </c>
      <c r="AJ164" s="5" t="s">
        <v>1962</v>
      </c>
    </row>
    <row r="165" spans="1:36" ht="15" customHeight="1" x14ac:dyDescent="0.25">
      <c r="A165" s="5" t="s">
        <v>123</v>
      </c>
      <c r="B165" s="5" t="s">
        <v>426</v>
      </c>
      <c r="C165" s="5" t="s">
        <v>427</v>
      </c>
      <c r="D165" s="5" t="s">
        <v>1963</v>
      </c>
      <c r="E165" s="5">
        <v>54.157246999999998</v>
      </c>
      <c r="F165" s="5">
        <v>-116.886296</v>
      </c>
      <c r="G165" s="6">
        <v>42134</v>
      </c>
      <c r="H165" s="6">
        <v>42162</v>
      </c>
      <c r="I165" s="5" t="s">
        <v>1964</v>
      </c>
      <c r="M165" s="5">
        <v>3.9</v>
      </c>
      <c r="N165" s="5" t="s">
        <v>40</v>
      </c>
      <c r="O165" s="5" t="s">
        <v>437</v>
      </c>
      <c r="P165" s="7">
        <v>42168</v>
      </c>
      <c r="Q165" s="5">
        <v>2015</v>
      </c>
      <c r="R165" s="6" t="s">
        <v>175</v>
      </c>
      <c r="T165" s="5" t="s">
        <v>433</v>
      </c>
      <c r="U165" s="5" t="s">
        <v>1965</v>
      </c>
      <c r="V165" s="5" t="s">
        <v>438</v>
      </c>
      <c r="W165" s="5" t="s">
        <v>44</v>
      </c>
      <c r="AA165" s="10"/>
      <c r="AJ165" s="5" t="s">
        <v>1966</v>
      </c>
    </row>
    <row r="166" spans="1:36" ht="15" customHeight="1" x14ac:dyDescent="0.25">
      <c r="A166" s="5" t="s">
        <v>123</v>
      </c>
      <c r="B166" s="5" t="s">
        <v>426</v>
      </c>
      <c r="C166" s="5" t="s">
        <v>427</v>
      </c>
      <c r="D166" s="5" t="s">
        <v>439</v>
      </c>
      <c r="E166" s="5">
        <v>59.51</v>
      </c>
      <c r="F166" s="5">
        <v>-122.52</v>
      </c>
      <c r="G166" s="6" t="s">
        <v>440</v>
      </c>
      <c r="H166" s="6" t="s">
        <v>441</v>
      </c>
      <c r="I166" s="6">
        <v>39911</v>
      </c>
      <c r="J166" s="6">
        <v>40890</v>
      </c>
      <c r="L166" s="5">
        <v>38</v>
      </c>
      <c r="M166" s="5">
        <v>3.8</v>
      </c>
      <c r="N166" s="5" t="s">
        <v>65</v>
      </c>
      <c r="P166" s="7">
        <v>40682</v>
      </c>
      <c r="Q166" s="5">
        <v>2011</v>
      </c>
      <c r="R166" s="6"/>
      <c r="T166" s="5" t="s">
        <v>433</v>
      </c>
      <c r="W166" s="5" t="s">
        <v>44</v>
      </c>
      <c r="AA166" s="10">
        <v>216.7</v>
      </c>
      <c r="AB166" s="5" t="s">
        <v>118</v>
      </c>
      <c r="AC166" s="5">
        <v>61612</v>
      </c>
      <c r="AD166" s="5" t="s">
        <v>92</v>
      </c>
      <c r="AI166" s="5" t="s">
        <v>442</v>
      </c>
      <c r="AJ166" s="5" t="s">
        <v>443</v>
      </c>
    </row>
    <row r="167" spans="1:36" ht="15" customHeight="1" x14ac:dyDescent="0.25">
      <c r="A167" s="5" t="s">
        <v>51</v>
      </c>
      <c r="B167" s="5" t="s">
        <v>426</v>
      </c>
      <c r="C167" s="5" t="s">
        <v>427</v>
      </c>
      <c r="D167" s="5" t="s">
        <v>2280</v>
      </c>
      <c r="E167" s="5">
        <v>39.904437999999999</v>
      </c>
      <c r="F167" s="5">
        <v>-81.281086000000002</v>
      </c>
      <c r="G167" s="6"/>
      <c r="H167" s="6"/>
      <c r="I167" s="6"/>
      <c r="J167" s="6"/>
      <c r="L167" s="5">
        <v>18</v>
      </c>
      <c r="M167" s="5">
        <v>3.7</v>
      </c>
      <c r="N167" s="5" t="s">
        <v>65</v>
      </c>
      <c r="P167" s="5">
        <v>2017</v>
      </c>
      <c r="Q167" s="5">
        <v>2017</v>
      </c>
      <c r="R167" s="6"/>
      <c r="T167" s="5" t="s">
        <v>433</v>
      </c>
      <c r="W167" s="5" t="s">
        <v>44</v>
      </c>
      <c r="AA167" s="10"/>
      <c r="AJ167" s="5" t="s">
        <v>2281</v>
      </c>
    </row>
    <row r="168" spans="1:36" ht="15" customHeight="1" x14ac:dyDescent="0.25">
      <c r="A168" s="5" t="s">
        <v>123</v>
      </c>
      <c r="B168" s="5" t="s">
        <v>426</v>
      </c>
      <c r="C168" s="5" t="s">
        <v>427</v>
      </c>
      <c r="D168" s="5" t="s">
        <v>1967</v>
      </c>
      <c r="E168" s="5">
        <v>54.353630000000003</v>
      </c>
      <c r="F168" s="5">
        <v>-117.320114</v>
      </c>
      <c r="G168" s="6">
        <v>42016</v>
      </c>
      <c r="H168" s="6">
        <v>42023</v>
      </c>
      <c r="I168" s="6">
        <v>42016</v>
      </c>
      <c r="J168" s="6">
        <v>42026</v>
      </c>
      <c r="L168" s="5">
        <v>104</v>
      </c>
      <c r="M168" s="5">
        <v>3.7</v>
      </c>
      <c r="N168" s="5" t="s">
        <v>40</v>
      </c>
      <c r="O168" s="5">
        <v>3440</v>
      </c>
      <c r="P168" s="7">
        <v>42018</v>
      </c>
      <c r="Q168" s="5">
        <v>2015</v>
      </c>
      <c r="R168" s="6"/>
      <c r="T168" s="5" t="s">
        <v>433</v>
      </c>
      <c r="W168" s="5" t="s">
        <v>44</v>
      </c>
      <c r="AA168" s="10"/>
      <c r="AC168" s="5">
        <v>11608.5</v>
      </c>
      <c r="AD168" s="5" t="s">
        <v>92</v>
      </c>
      <c r="AE168" s="5">
        <v>76</v>
      </c>
      <c r="AJ168" s="5" t="s">
        <v>1968</v>
      </c>
    </row>
    <row r="169" spans="1:36" ht="15" customHeight="1" x14ac:dyDescent="0.25">
      <c r="A169" s="5" t="s">
        <v>123</v>
      </c>
      <c r="B169" s="5" t="s">
        <v>426</v>
      </c>
      <c r="C169" s="5" t="s">
        <v>427</v>
      </c>
      <c r="D169" s="5" t="s">
        <v>445</v>
      </c>
      <c r="E169" s="5">
        <v>56.903922000000001</v>
      </c>
      <c r="F169" s="5">
        <v>-122.030021</v>
      </c>
      <c r="G169" s="6">
        <v>41504</v>
      </c>
      <c r="H169" s="6">
        <v>41560</v>
      </c>
      <c r="I169" s="6">
        <v>41504</v>
      </c>
      <c r="J169" s="6">
        <v>41573</v>
      </c>
      <c r="L169" s="5">
        <v>16</v>
      </c>
      <c r="M169" s="5">
        <v>3.4</v>
      </c>
      <c r="N169" s="5" t="s">
        <v>65</v>
      </c>
      <c r="P169" s="7">
        <v>41507</v>
      </c>
      <c r="Q169" s="5">
        <v>2013</v>
      </c>
      <c r="R169" s="6"/>
      <c r="S169" s="5">
        <v>3000</v>
      </c>
      <c r="T169" s="5" t="s">
        <v>433</v>
      </c>
      <c r="W169" s="5" t="s">
        <v>44</v>
      </c>
      <c r="AA169" s="10" t="s">
        <v>446</v>
      </c>
      <c r="AB169" s="5" t="s">
        <v>118</v>
      </c>
      <c r="AE169" s="5">
        <v>60.1</v>
      </c>
      <c r="AJ169" s="5" t="s">
        <v>435</v>
      </c>
    </row>
    <row r="170" spans="1:36" ht="15" customHeight="1" x14ac:dyDescent="0.25">
      <c r="A170" s="5" t="s">
        <v>153</v>
      </c>
      <c r="B170" s="5" t="s">
        <v>426</v>
      </c>
      <c r="C170" s="5" t="s">
        <v>427</v>
      </c>
      <c r="D170" s="5" t="s">
        <v>1969</v>
      </c>
      <c r="E170" s="5">
        <v>29.521174999999999</v>
      </c>
      <c r="F170" s="5">
        <v>104.829375</v>
      </c>
      <c r="G170" s="5">
        <v>2015</v>
      </c>
      <c r="H170" s="6"/>
      <c r="I170" s="5">
        <v>2015</v>
      </c>
      <c r="J170" s="6"/>
      <c r="M170" s="5">
        <v>3.4</v>
      </c>
      <c r="N170" s="5" t="s">
        <v>40</v>
      </c>
      <c r="P170" s="7">
        <v>42559</v>
      </c>
      <c r="Q170" s="5">
        <v>2016</v>
      </c>
      <c r="R170" s="6"/>
      <c r="T170" s="5" t="s">
        <v>433</v>
      </c>
      <c r="W170" s="5" t="s">
        <v>44</v>
      </c>
      <c r="AA170" s="10"/>
      <c r="AJ170" s="5" t="s">
        <v>2640</v>
      </c>
    </row>
    <row r="171" spans="1:36" ht="15" customHeight="1" x14ac:dyDescent="0.25">
      <c r="A171" s="5" t="s">
        <v>123</v>
      </c>
      <c r="B171" s="5" t="s">
        <v>426</v>
      </c>
      <c r="C171" s="5" t="s">
        <v>427</v>
      </c>
      <c r="D171" s="5" t="s">
        <v>1970</v>
      </c>
      <c r="E171" s="5">
        <v>54.507570999999999</v>
      </c>
      <c r="F171" s="5">
        <v>-117.31829</v>
      </c>
      <c r="G171" s="5" t="s">
        <v>237</v>
      </c>
      <c r="H171" s="6" t="s">
        <v>1971</v>
      </c>
      <c r="I171" s="6">
        <v>41275</v>
      </c>
      <c r="M171" s="5">
        <v>3.3</v>
      </c>
      <c r="N171" s="5" t="s">
        <v>40</v>
      </c>
      <c r="P171" s="5">
        <v>2013</v>
      </c>
      <c r="Q171" s="5">
        <v>2013</v>
      </c>
      <c r="T171" s="5" t="s">
        <v>433</v>
      </c>
      <c r="W171" s="5" t="s">
        <v>44</v>
      </c>
      <c r="AJ171" s="5" t="s">
        <v>1972</v>
      </c>
    </row>
    <row r="172" spans="1:36" x14ac:dyDescent="0.25">
      <c r="A172" s="5" t="s">
        <v>123</v>
      </c>
      <c r="B172" s="5" t="s">
        <v>426</v>
      </c>
      <c r="C172" s="5" t="s">
        <v>427</v>
      </c>
      <c r="D172" s="5" t="s">
        <v>2122</v>
      </c>
      <c r="G172" s="6">
        <v>42668</v>
      </c>
      <c r="H172" s="6">
        <v>42719</v>
      </c>
      <c r="I172" s="6"/>
      <c r="L172" s="5">
        <v>4083</v>
      </c>
      <c r="M172" s="5">
        <v>3.22</v>
      </c>
      <c r="N172" s="5" t="s">
        <v>40</v>
      </c>
      <c r="O172" s="5">
        <v>2979</v>
      </c>
      <c r="P172" s="7">
        <v>42703</v>
      </c>
      <c r="Q172" s="5">
        <v>2016</v>
      </c>
      <c r="S172" s="5">
        <v>750</v>
      </c>
      <c r="T172" s="5" t="s">
        <v>433</v>
      </c>
      <c r="U172" s="5" t="s">
        <v>437</v>
      </c>
      <c r="V172" s="5">
        <v>3500</v>
      </c>
      <c r="W172" s="5" t="s">
        <v>44</v>
      </c>
      <c r="AJ172" s="5" t="s">
        <v>2123</v>
      </c>
    </row>
    <row r="173" spans="1:36" x14ac:dyDescent="0.25">
      <c r="A173" s="5" t="s">
        <v>123</v>
      </c>
      <c r="B173" s="5" t="s">
        <v>426</v>
      </c>
      <c r="C173" s="5" t="s">
        <v>427</v>
      </c>
      <c r="D173" s="5" t="s">
        <v>447</v>
      </c>
      <c r="E173" s="5">
        <v>57.297666</v>
      </c>
      <c r="F173" s="5">
        <v>-122.67292500000001</v>
      </c>
      <c r="G173" s="6"/>
      <c r="H173" s="6"/>
      <c r="I173" s="6">
        <v>41654</v>
      </c>
      <c r="J173" s="6">
        <v>41711</v>
      </c>
      <c r="L173" s="5">
        <v>20</v>
      </c>
      <c r="M173" s="5">
        <v>3.2</v>
      </c>
      <c r="N173" s="5" t="s">
        <v>65</v>
      </c>
      <c r="P173" s="7">
        <v>41700</v>
      </c>
      <c r="Q173" s="5">
        <v>2014</v>
      </c>
      <c r="R173" s="6"/>
      <c r="S173" s="5">
        <v>3000</v>
      </c>
      <c r="T173" s="5" t="s">
        <v>433</v>
      </c>
      <c r="W173" s="5" t="s">
        <v>44</v>
      </c>
      <c r="AA173" s="10"/>
      <c r="AJ173" s="5" t="s">
        <v>435</v>
      </c>
    </row>
    <row r="174" spans="1:36" x14ac:dyDescent="0.25">
      <c r="A174" s="5" t="s">
        <v>51</v>
      </c>
      <c r="B174" s="5" t="s">
        <v>426</v>
      </c>
      <c r="C174" s="5" t="s">
        <v>427</v>
      </c>
      <c r="D174" s="5" t="s">
        <v>448</v>
      </c>
      <c r="E174" s="5">
        <v>34.095728000000001</v>
      </c>
      <c r="F174" s="5">
        <v>-97.434442000000004</v>
      </c>
      <c r="G174" s="6">
        <v>41827</v>
      </c>
      <c r="H174" s="6">
        <v>41829</v>
      </c>
      <c r="I174" s="6">
        <v>41827</v>
      </c>
      <c r="J174" s="6">
        <v>41829</v>
      </c>
      <c r="K174" s="5" t="s">
        <v>449</v>
      </c>
      <c r="L174" s="5">
        <v>26</v>
      </c>
      <c r="M174" s="5">
        <v>3.2</v>
      </c>
      <c r="N174" s="5" t="s">
        <v>65</v>
      </c>
      <c r="O174" s="5">
        <v>7300</v>
      </c>
      <c r="P174" s="7">
        <v>41827</v>
      </c>
      <c r="Q174" s="5">
        <v>2014</v>
      </c>
      <c r="R174" s="5">
        <v>4500</v>
      </c>
      <c r="S174" s="5">
        <v>7000</v>
      </c>
      <c r="V174" s="5" t="s">
        <v>450</v>
      </c>
      <c r="W174" s="5" t="s">
        <v>44</v>
      </c>
      <c r="AA174" s="10">
        <f>((100/6.29)*1000)/60</f>
        <v>264.97085320614735</v>
      </c>
      <c r="AB174" s="5" t="s">
        <v>118</v>
      </c>
      <c r="AE174" s="5">
        <v>55.2</v>
      </c>
      <c r="AJ174" s="5" t="s">
        <v>451</v>
      </c>
    </row>
    <row r="175" spans="1:36" x14ac:dyDescent="0.25">
      <c r="A175" s="5" t="s">
        <v>123</v>
      </c>
      <c r="B175" s="5" t="s">
        <v>426</v>
      </c>
      <c r="C175" s="5" t="s">
        <v>427</v>
      </c>
      <c r="D175" s="5" t="s">
        <v>1974</v>
      </c>
      <c r="E175" s="5">
        <v>54.389221999999997</v>
      </c>
      <c r="F175" s="5">
        <v>-117.214005</v>
      </c>
      <c r="G175" s="5" t="s">
        <v>1164</v>
      </c>
      <c r="H175" s="5" t="s">
        <v>1975</v>
      </c>
      <c r="M175" s="5">
        <v>3.2</v>
      </c>
      <c r="N175" s="5" t="s">
        <v>40</v>
      </c>
      <c r="P175" s="5">
        <v>2014</v>
      </c>
      <c r="Q175" s="5">
        <v>2014</v>
      </c>
      <c r="T175" s="5" t="s">
        <v>433</v>
      </c>
      <c r="W175" s="5" t="s">
        <v>44</v>
      </c>
      <c r="AJ175" s="5" t="s">
        <v>1972</v>
      </c>
    </row>
    <row r="176" spans="1:36" x14ac:dyDescent="0.25">
      <c r="A176" s="5" t="s">
        <v>123</v>
      </c>
      <c r="B176" s="5" t="s">
        <v>426</v>
      </c>
      <c r="C176" s="5" t="s">
        <v>427</v>
      </c>
      <c r="D176" s="5" t="s">
        <v>1976</v>
      </c>
      <c r="E176" s="5">
        <v>54.537045999999997</v>
      </c>
      <c r="F176" s="5">
        <v>-117.773923</v>
      </c>
      <c r="G176" s="5" t="s">
        <v>1977</v>
      </c>
      <c r="H176" s="5" t="s">
        <v>1977</v>
      </c>
      <c r="M176" s="5">
        <v>3.2</v>
      </c>
      <c r="N176" s="5" t="s">
        <v>40</v>
      </c>
      <c r="P176" s="5">
        <v>2014</v>
      </c>
      <c r="Q176" s="5">
        <v>2014</v>
      </c>
      <c r="T176" s="5" t="s">
        <v>433</v>
      </c>
      <c r="U176" s="5" t="s">
        <v>1978</v>
      </c>
      <c r="W176" s="5" t="s">
        <v>44</v>
      </c>
      <c r="AJ176" s="5" t="s">
        <v>1972</v>
      </c>
    </row>
    <row r="177" spans="1:36" x14ac:dyDescent="0.25">
      <c r="A177" s="5" t="s">
        <v>123</v>
      </c>
      <c r="B177" s="5" t="s">
        <v>426</v>
      </c>
      <c r="C177" s="5" t="s">
        <v>427</v>
      </c>
      <c r="D177" s="5" t="s">
        <v>1973</v>
      </c>
      <c r="E177" s="5">
        <v>54.354340999999998</v>
      </c>
      <c r="F177" s="5">
        <v>-117.221553</v>
      </c>
      <c r="G177" s="6">
        <v>42040</v>
      </c>
      <c r="H177" s="6">
        <v>42050</v>
      </c>
      <c r="I177" s="6">
        <v>42041</v>
      </c>
      <c r="J177" s="6">
        <v>42058</v>
      </c>
      <c r="L177" s="5">
        <v>365</v>
      </c>
      <c r="M177" s="5">
        <v>3.2</v>
      </c>
      <c r="N177" s="5" t="s">
        <v>40</v>
      </c>
      <c r="O177" s="5">
        <v>5360</v>
      </c>
      <c r="P177" s="7">
        <v>42045</v>
      </c>
      <c r="Q177" s="5">
        <v>2015</v>
      </c>
      <c r="T177" s="5" t="s">
        <v>433</v>
      </c>
      <c r="W177" s="5" t="s">
        <v>44</v>
      </c>
      <c r="AC177" s="5">
        <v>19848.240000000002</v>
      </c>
      <c r="AD177" s="5" t="s">
        <v>92</v>
      </c>
      <c r="AE177" s="5">
        <v>80</v>
      </c>
      <c r="AJ177" s="5" t="s">
        <v>1968</v>
      </c>
    </row>
    <row r="178" spans="1:36" x14ac:dyDescent="0.25">
      <c r="A178" s="5" t="s">
        <v>123</v>
      </c>
      <c r="B178" s="5" t="s">
        <v>426</v>
      </c>
      <c r="C178" s="5" t="s">
        <v>427</v>
      </c>
      <c r="D178" s="5" t="s">
        <v>1979</v>
      </c>
      <c r="E178" s="5">
        <v>54.461790999999998</v>
      </c>
      <c r="F178" s="5">
        <v>-117.265879</v>
      </c>
      <c r="G178" s="5" t="s">
        <v>1980</v>
      </c>
      <c r="H178" s="5" t="s">
        <v>1981</v>
      </c>
      <c r="I178" s="5" t="s">
        <v>1980</v>
      </c>
      <c r="M178" s="5">
        <v>3.2</v>
      </c>
      <c r="N178" s="5" t="s">
        <v>40</v>
      </c>
      <c r="P178" s="5">
        <v>2015</v>
      </c>
      <c r="Q178" s="5">
        <v>2015</v>
      </c>
      <c r="T178" s="5" t="s">
        <v>433</v>
      </c>
      <c r="W178" s="5" t="s">
        <v>44</v>
      </c>
      <c r="AJ178" s="5" t="s">
        <v>1960</v>
      </c>
    </row>
    <row r="179" spans="1:36" x14ac:dyDescent="0.25">
      <c r="A179" s="5" t="s">
        <v>51</v>
      </c>
      <c r="B179" s="5" t="s">
        <v>426</v>
      </c>
      <c r="C179" s="5" t="s">
        <v>427</v>
      </c>
      <c r="D179" s="5" t="s">
        <v>2282</v>
      </c>
      <c r="E179" s="5">
        <v>34.095799999999997</v>
      </c>
      <c r="F179" s="5">
        <v>-97.434370000000001</v>
      </c>
      <c r="M179" s="5">
        <v>3.2</v>
      </c>
      <c r="P179" s="5">
        <v>2014</v>
      </c>
      <c r="Q179" s="5">
        <v>2014</v>
      </c>
      <c r="W179" s="5" t="s">
        <v>44</v>
      </c>
      <c r="AI179" s="5" t="s">
        <v>2283</v>
      </c>
      <c r="AJ179" s="5" t="s">
        <v>2284</v>
      </c>
    </row>
    <row r="180" spans="1:36" x14ac:dyDescent="0.25">
      <c r="A180" s="5" t="s">
        <v>51</v>
      </c>
      <c r="B180" s="5" t="s">
        <v>426</v>
      </c>
      <c r="C180" s="5" t="s">
        <v>427</v>
      </c>
      <c r="D180" s="5" t="s">
        <v>2285</v>
      </c>
      <c r="E180" s="5">
        <v>34.650184000000003</v>
      </c>
      <c r="F180" s="5">
        <v>-96.355901000000003</v>
      </c>
      <c r="M180" s="5">
        <v>3.2</v>
      </c>
      <c r="P180" s="5">
        <v>2010</v>
      </c>
      <c r="Q180" s="5">
        <v>2010</v>
      </c>
      <c r="W180" s="5" t="s">
        <v>44</v>
      </c>
      <c r="AI180" s="5" t="s">
        <v>2283</v>
      </c>
      <c r="AJ180" s="5" t="s">
        <v>2284</v>
      </c>
    </row>
    <row r="181" spans="1:36" x14ac:dyDescent="0.25">
      <c r="A181" s="5" t="s">
        <v>51</v>
      </c>
      <c r="B181" s="5" t="s">
        <v>426</v>
      </c>
      <c r="C181" s="5" t="s">
        <v>427</v>
      </c>
      <c r="D181" s="5" t="s">
        <v>2286</v>
      </c>
      <c r="E181" s="5">
        <v>35.754781999999999</v>
      </c>
      <c r="F181" s="5">
        <v>-98.527544000000006</v>
      </c>
      <c r="M181" s="5">
        <v>3.2</v>
      </c>
      <c r="P181" s="5">
        <v>2016</v>
      </c>
      <c r="Q181" s="5">
        <v>2016</v>
      </c>
      <c r="W181" s="5" t="s">
        <v>44</v>
      </c>
      <c r="AI181" s="5" t="s">
        <v>2283</v>
      </c>
      <c r="AJ181" s="5" t="s">
        <v>2284</v>
      </c>
    </row>
    <row r="182" spans="1:36" x14ac:dyDescent="0.25">
      <c r="A182" s="5" t="s">
        <v>123</v>
      </c>
      <c r="B182" s="5" t="s">
        <v>426</v>
      </c>
      <c r="C182" s="5" t="s">
        <v>427</v>
      </c>
      <c r="D182" s="5" t="s">
        <v>1982</v>
      </c>
      <c r="E182" s="5">
        <v>54.475904</v>
      </c>
      <c r="F182" s="5">
        <v>-117.32051</v>
      </c>
      <c r="G182" s="5" t="s">
        <v>1983</v>
      </c>
      <c r="H182" s="5" t="s">
        <v>1983</v>
      </c>
      <c r="M182" s="5">
        <v>3.18</v>
      </c>
      <c r="N182" s="5" t="s">
        <v>40</v>
      </c>
      <c r="O182" s="5" t="s">
        <v>1984</v>
      </c>
      <c r="P182" s="7">
        <v>41679</v>
      </c>
      <c r="Q182" s="5">
        <v>2014</v>
      </c>
      <c r="T182" s="5" t="s">
        <v>433</v>
      </c>
      <c r="W182" s="5" t="s">
        <v>44</v>
      </c>
      <c r="AJ182" s="5" t="s">
        <v>1972</v>
      </c>
    </row>
    <row r="183" spans="1:36" x14ac:dyDescent="0.25">
      <c r="A183" s="5" t="s">
        <v>123</v>
      </c>
      <c r="B183" s="5" t="s">
        <v>426</v>
      </c>
      <c r="C183" s="5" t="s">
        <v>427</v>
      </c>
      <c r="D183" s="5" t="s">
        <v>2409</v>
      </c>
      <c r="E183" s="5">
        <v>52.212899999999998</v>
      </c>
      <c r="F183" s="5">
        <v>-113.9607</v>
      </c>
      <c r="G183" s="6"/>
      <c r="H183" s="6"/>
      <c r="I183" s="6"/>
      <c r="J183" s="6"/>
      <c r="L183" s="5">
        <v>63</v>
      </c>
      <c r="M183" s="5">
        <v>3.13</v>
      </c>
      <c r="N183" s="5" t="s">
        <v>65</v>
      </c>
      <c r="O183" s="5">
        <v>2500</v>
      </c>
      <c r="P183" s="7">
        <v>43168</v>
      </c>
      <c r="Q183" s="5">
        <v>2018</v>
      </c>
      <c r="R183" s="6"/>
      <c r="T183" s="5" t="s">
        <v>433</v>
      </c>
      <c r="W183" s="5" t="s">
        <v>44</v>
      </c>
      <c r="AA183" s="10"/>
      <c r="AI183" s="5" t="s">
        <v>2407</v>
      </c>
      <c r="AJ183" s="5" t="s">
        <v>2408</v>
      </c>
    </row>
    <row r="184" spans="1:36" x14ac:dyDescent="0.25">
      <c r="A184" s="5" t="s">
        <v>123</v>
      </c>
      <c r="B184" s="5" t="s">
        <v>426</v>
      </c>
      <c r="C184" s="5" t="s">
        <v>427</v>
      </c>
      <c r="D184" s="5" t="s">
        <v>1985</v>
      </c>
      <c r="E184" s="5">
        <v>54.310867000000002</v>
      </c>
      <c r="F184" s="5">
        <v>-117.606707</v>
      </c>
      <c r="M184" s="5">
        <v>3.1</v>
      </c>
      <c r="N184" s="5" t="s">
        <v>40</v>
      </c>
      <c r="P184" s="5">
        <v>2015</v>
      </c>
      <c r="Q184" s="5">
        <v>2015</v>
      </c>
      <c r="T184" s="5" t="s">
        <v>433</v>
      </c>
      <c r="W184" s="5" t="s">
        <v>44</v>
      </c>
      <c r="AJ184" s="5" t="s">
        <v>1960</v>
      </c>
    </row>
    <row r="185" spans="1:36" x14ac:dyDescent="0.25">
      <c r="A185" s="5" t="s">
        <v>51</v>
      </c>
      <c r="B185" s="5" t="s">
        <v>426</v>
      </c>
      <c r="C185" s="5" t="s">
        <v>427</v>
      </c>
      <c r="D185" s="5" t="s">
        <v>2287</v>
      </c>
      <c r="E185" s="5">
        <v>36.603779000000003</v>
      </c>
      <c r="F185" s="5">
        <v>-97.306467999999995</v>
      </c>
      <c r="M185" s="5">
        <v>3.1</v>
      </c>
      <c r="P185" s="5">
        <v>2016</v>
      </c>
      <c r="Q185" s="5">
        <v>2016</v>
      </c>
      <c r="W185" s="5" t="s">
        <v>44</v>
      </c>
      <c r="AI185" s="5" t="s">
        <v>2283</v>
      </c>
      <c r="AJ185" s="5" t="s">
        <v>2284</v>
      </c>
    </row>
    <row r="186" spans="1:36" x14ac:dyDescent="0.25">
      <c r="A186" s="5" t="s">
        <v>51</v>
      </c>
      <c r="B186" s="5" t="s">
        <v>426</v>
      </c>
      <c r="C186" s="5" t="s">
        <v>427</v>
      </c>
      <c r="D186" s="5" t="s">
        <v>2288</v>
      </c>
      <c r="E186" s="5">
        <v>36.188017000000002</v>
      </c>
      <c r="F186" s="5">
        <v>-98.850921999999997</v>
      </c>
      <c r="M186" s="5">
        <v>3.1</v>
      </c>
      <c r="P186" s="5">
        <v>2016</v>
      </c>
      <c r="Q186" s="5">
        <v>2016</v>
      </c>
      <c r="W186" s="5" t="s">
        <v>44</v>
      </c>
      <c r="AI186" s="5" t="s">
        <v>2283</v>
      </c>
      <c r="AJ186" s="5" t="s">
        <v>2284</v>
      </c>
    </row>
    <row r="187" spans="1:36" x14ac:dyDescent="0.25">
      <c r="A187" s="5" t="s">
        <v>51</v>
      </c>
      <c r="B187" s="5" t="s">
        <v>426</v>
      </c>
      <c r="C187" s="5" t="s">
        <v>427</v>
      </c>
      <c r="D187" s="5" t="s">
        <v>2289</v>
      </c>
      <c r="E187" s="5">
        <v>39.644683000000001</v>
      </c>
      <c r="F187" s="5">
        <v>-81.192449999999994</v>
      </c>
      <c r="I187" s="5" t="s">
        <v>2290</v>
      </c>
      <c r="M187" s="5">
        <v>3</v>
      </c>
      <c r="P187" s="7">
        <v>42827</v>
      </c>
      <c r="Q187" s="5">
        <v>2017</v>
      </c>
      <c r="AJ187" s="5" t="s">
        <v>2281</v>
      </c>
    </row>
    <row r="188" spans="1:36" x14ac:dyDescent="0.25">
      <c r="A188" s="5" t="s">
        <v>123</v>
      </c>
      <c r="B188" s="5" t="s">
        <v>426</v>
      </c>
      <c r="C188" s="5" t="s">
        <v>427</v>
      </c>
      <c r="D188" s="5" t="s">
        <v>452</v>
      </c>
      <c r="E188" s="5">
        <v>49.319381999999997</v>
      </c>
      <c r="F188" s="5">
        <v>-113.307653</v>
      </c>
      <c r="G188" s="6">
        <v>40872</v>
      </c>
      <c r="H188" s="6">
        <v>40884</v>
      </c>
      <c r="I188" s="5" t="s">
        <v>453</v>
      </c>
      <c r="J188" s="5" t="s">
        <v>454</v>
      </c>
      <c r="L188" s="5" t="s">
        <v>455</v>
      </c>
      <c r="M188" s="5">
        <v>3</v>
      </c>
      <c r="N188" s="5" t="s">
        <v>40</v>
      </c>
      <c r="P188" s="7">
        <v>40881</v>
      </c>
      <c r="Q188" s="5">
        <v>2011</v>
      </c>
      <c r="S188" s="5">
        <v>600</v>
      </c>
      <c r="T188" s="5" t="s">
        <v>433</v>
      </c>
      <c r="U188" s="5" t="s">
        <v>456</v>
      </c>
      <c r="V188" s="5">
        <v>2845</v>
      </c>
      <c r="W188" s="5" t="s">
        <v>44</v>
      </c>
      <c r="AC188" s="5">
        <v>7160</v>
      </c>
      <c r="AD188" s="5" t="s">
        <v>92</v>
      </c>
      <c r="AE188" s="5">
        <v>85</v>
      </c>
      <c r="AJ188" s="5" t="s">
        <v>457</v>
      </c>
    </row>
    <row r="189" spans="1:36" x14ac:dyDescent="0.25">
      <c r="A189" s="5" t="s">
        <v>51</v>
      </c>
      <c r="B189" s="5" t="s">
        <v>426</v>
      </c>
      <c r="C189" s="5" t="s">
        <v>427</v>
      </c>
      <c r="D189" s="5" t="s">
        <v>458</v>
      </c>
      <c r="E189" s="5">
        <v>41.013705999999999</v>
      </c>
      <c r="F189" s="5">
        <v>-80.536242999999999</v>
      </c>
      <c r="G189" s="6">
        <v>41702</v>
      </c>
      <c r="H189" s="6">
        <v>41708</v>
      </c>
      <c r="I189" s="6">
        <v>41702</v>
      </c>
      <c r="J189" s="6">
        <v>41710</v>
      </c>
      <c r="L189" s="5">
        <v>77</v>
      </c>
      <c r="M189" s="5">
        <v>3</v>
      </c>
      <c r="N189" s="5" t="s">
        <v>65</v>
      </c>
      <c r="O189" s="5">
        <v>3100</v>
      </c>
      <c r="P189" s="7">
        <v>41708</v>
      </c>
      <c r="Q189" s="5">
        <v>2014</v>
      </c>
      <c r="R189" s="5">
        <v>270</v>
      </c>
      <c r="S189" s="5">
        <v>850</v>
      </c>
      <c r="T189" s="5" t="s">
        <v>433</v>
      </c>
      <c r="U189" s="5" t="s">
        <v>459</v>
      </c>
      <c r="V189" s="5">
        <v>2400</v>
      </c>
      <c r="W189" s="5" t="s">
        <v>44</v>
      </c>
      <c r="AJ189" s="5" t="s">
        <v>2291</v>
      </c>
    </row>
    <row r="190" spans="1:36" x14ac:dyDescent="0.25">
      <c r="A190" s="5" t="s">
        <v>123</v>
      </c>
      <c r="B190" s="5" t="s">
        <v>426</v>
      </c>
      <c r="C190" s="5" t="s">
        <v>427</v>
      </c>
      <c r="D190" s="5" t="s">
        <v>1986</v>
      </c>
      <c r="E190" s="5">
        <v>54.326056000000001</v>
      </c>
      <c r="F190" s="5">
        <v>-116.706017</v>
      </c>
      <c r="G190" s="5" t="s">
        <v>1987</v>
      </c>
      <c r="H190" s="5" t="s">
        <v>1988</v>
      </c>
      <c r="I190" s="5" t="s">
        <v>1987</v>
      </c>
      <c r="M190" s="5">
        <v>3</v>
      </c>
      <c r="N190" s="5" t="s">
        <v>40</v>
      </c>
      <c r="P190" s="5">
        <v>2015</v>
      </c>
      <c r="Q190" s="5">
        <v>2015</v>
      </c>
      <c r="T190" s="5" t="s">
        <v>433</v>
      </c>
      <c r="W190" s="5" t="s">
        <v>44</v>
      </c>
      <c r="AJ190" s="5" t="s">
        <v>1960</v>
      </c>
    </row>
    <row r="191" spans="1:36" x14ac:dyDescent="0.25">
      <c r="A191" s="5" t="s">
        <v>51</v>
      </c>
      <c r="B191" s="5" t="s">
        <v>426</v>
      </c>
      <c r="C191" s="5" t="s">
        <v>427</v>
      </c>
      <c r="D191" s="5" t="s">
        <v>2287</v>
      </c>
      <c r="E191" s="5">
        <v>36.657769999999999</v>
      </c>
      <c r="F191" s="5">
        <v>-97.320498999999998</v>
      </c>
      <c r="M191" s="5">
        <v>3</v>
      </c>
      <c r="P191" s="5">
        <v>2012</v>
      </c>
      <c r="Q191" s="5">
        <v>2012</v>
      </c>
      <c r="W191" s="5" t="s">
        <v>44</v>
      </c>
      <c r="AI191" s="5" t="s">
        <v>2283</v>
      </c>
      <c r="AJ191" s="5" t="s">
        <v>2284</v>
      </c>
    </row>
    <row r="192" spans="1:36" ht="15" customHeight="1" x14ac:dyDescent="0.25">
      <c r="A192" s="5" t="s">
        <v>51</v>
      </c>
      <c r="B192" s="5" t="s">
        <v>426</v>
      </c>
      <c r="C192" s="5" t="s">
        <v>427</v>
      </c>
      <c r="D192" s="5" t="s">
        <v>2286</v>
      </c>
      <c r="E192" s="5">
        <v>35.755979000000004</v>
      </c>
      <c r="F192" s="5">
        <v>-98.613256000000007</v>
      </c>
      <c r="M192" s="5">
        <v>3</v>
      </c>
      <c r="P192" s="5">
        <v>2016</v>
      </c>
      <c r="Q192" s="5">
        <v>2016</v>
      </c>
      <c r="W192" s="5" t="s">
        <v>44</v>
      </c>
      <c r="AI192" s="5" t="s">
        <v>2283</v>
      </c>
      <c r="AJ192" s="5" t="s">
        <v>2284</v>
      </c>
    </row>
    <row r="193" spans="1:36" ht="15" customHeight="1" x14ac:dyDescent="0.25">
      <c r="A193" s="5" t="s">
        <v>51</v>
      </c>
      <c r="B193" s="5" t="s">
        <v>426</v>
      </c>
      <c r="C193" s="5" t="s">
        <v>427</v>
      </c>
      <c r="D193" s="5" t="s">
        <v>2292</v>
      </c>
      <c r="E193" s="5">
        <v>35.007685000000002</v>
      </c>
      <c r="F193" s="5">
        <v>-97.873262999999994</v>
      </c>
      <c r="M193" s="5">
        <v>3</v>
      </c>
      <c r="P193" s="5">
        <v>2016</v>
      </c>
      <c r="Q193" s="5">
        <v>2016</v>
      </c>
      <c r="W193" s="5" t="s">
        <v>44</v>
      </c>
      <c r="AI193" s="5" t="s">
        <v>2283</v>
      </c>
      <c r="AJ193" s="5" t="s">
        <v>2284</v>
      </c>
    </row>
    <row r="194" spans="1:36" x14ac:dyDescent="0.25">
      <c r="A194" s="5" t="s">
        <v>51</v>
      </c>
      <c r="B194" s="5" t="s">
        <v>426</v>
      </c>
      <c r="C194" s="5" t="s">
        <v>427</v>
      </c>
      <c r="D194" s="5" t="s">
        <v>2293</v>
      </c>
      <c r="E194" s="5">
        <v>36.217584000000002</v>
      </c>
      <c r="F194" s="5">
        <v>-99.247327999999996</v>
      </c>
      <c r="M194" s="5">
        <v>3</v>
      </c>
      <c r="P194" s="5">
        <v>2016</v>
      </c>
      <c r="Q194" s="5">
        <v>2016</v>
      </c>
      <c r="W194" s="5" t="s">
        <v>44</v>
      </c>
      <c r="AI194" s="5" t="s">
        <v>2283</v>
      </c>
      <c r="AJ194" s="5" t="s">
        <v>2284</v>
      </c>
    </row>
    <row r="195" spans="1:36" x14ac:dyDescent="0.25">
      <c r="A195" s="5" t="s">
        <v>51</v>
      </c>
      <c r="B195" s="5" t="s">
        <v>426</v>
      </c>
      <c r="C195" s="5" t="s">
        <v>427</v>
      </c>
      <c r="D195" s="5" t="s">
        <v>2294</v>
      </c>
      <c r="E195" s="5">
        <v>34.81044</v>
      </c>
      <c r="F195" s="5">
        <v>-96.015173000000004</v>
      </c>
      <c r="M195" s="5">
        <v>3</v>
      </c>
      <c r="P195" s="5">
        <v>2010</v>
      </c>
      <c r="Q195" s="5">
        <v>2010</v>
      </c>
      <c r="W195" s="5" t="s">
        <v>44</v>
      </c>
      <c r="AI195" s="5" t="s">
        <v>2283</v>
      </c>
      <c r="AJ195" s="5" t="s">
        <v>2284</v>
      </c>
    </row>
    <row r="196" spans="1:36" x14ac:dyDescent="0.25">
      <c r="A196" s="5" t="s">
        <v>51</v>
      </c>
      <c r="B196" s="5" t="s">
        <v>426</v>
      </c>
      <c r="C196" s="5" t="s">
        <v>427</v>
      </c>
      <c r="D196" s="5" t="s">
        <v>461</v>
      </c>
      <c r="E196" s="5">
        <v>34.651687000000003</v>
      </c>
      <c r="F196" s="5">
        <v>-98.005574999999993</v>
      </c>
      <c r="G196" s="6">
        <v>40559</v>
      </c>
      <c r="H196" s="6">
        <v>40565</v>
      </c>
      <c r="I196" s="6">
        <v>40560</v>
      </c>
      <c r="J196" s="6">
        <v>40566</v>
      </c>
      <c r="K196" s="5" t="s">
        <v>462</v>
      </c>
      <c r="L196" s="5">
        <v>116</v>
      </c>
      <c r="M196" s="5">
        <v>2.9</v>
      </c>
      <c r="N196" s="5" t="s">
        <v>65</v>
      </c>
      <c r="P196" s="7">
        <v>40561</v>
      </c>
      <c r="Q196" s="5">
        <v>2011</v>
      </c>
      <c r="R196" s="6"/>
      <c r="S196" s="5">
        <v>2500</v>
      </c>
      <c r="U196" s="5" t="s">
        <v>463</v>
      </c>
      <c r="V196" s="5" t="s">
        <v>464</v>
      </c>
      <c r="W196" s="5" t="s">
        <v>44</v>
      </c>
      <c r="AA196" s="10">
        <v>265</v>
      </c>
      <c r="AB196" s="5" t="s">
        <v>118</v>
      </c>
      <c r="AC196" s="5">
        <v>35000</v>
      </c>
      <c r="AD196" s="5" t="s">
        <v>92</v>
      </c>
      <c r="AE196" s="5">
        <v>41.37</v>
      </c>
      <c r="AI196" s="5" t="s">
        <v>465</v>
      </c>
      <c r="AJ196" s="5" t="s">
        <v>466</v>
      </c>
    </row>
    <row r="197" spans="1:36" x14ac:dyDescent="0.25">
      <c r="A197" s="5" t="s">
        <v>123</v>
      </c>
      <c r="B197" s="5" t="s">
        <v>426</v>
      </c>
      <c r="C197" s="5" t="s">
        <v>427</v>
      </c>
      <c r="D197" s="5" t="s">
        <v>1989</v>
      </c>
      <c r="E197" s="5">
        <v>54.497183</v>
      </c>
      <c r="F197" s="5">
        <v>-117.38203799999999</v>
      </c>
      <c r="G197" s="6">
        <v>42010</v>
      </c>
      <c r="H197" s="6">
        <v>42035</v>
      </c>
      <c r="I197" s="6">
        <v>42003</v>
      </c>
      <c r="J197" s="6">
        <v>42047</v>
      </c>
      <c r="L197" s="5">
        <v>286</v>
      </c>
      <c r="M197" s="5">
        <v>2.9</v>
      </c>
      <c r="N197" s="5" t="s">
        <v>40</v>
      </c>
      <c r="O197" s="5">
        <v>4060</v>
      </c>
      <c r="P197" s="7">
        <v>42020</v>
      </c>
      <c r="Q197" s="5">
        <v>2015</v>
      </c>
      <c r="T197" s="5" t="s">
        <v>433</v>
      </c>
      <c r="W197" s="5" t="s">
        <v>44</v>
      </c>
      <c r="AC197" s="5">
        <v>55259.87</v>
      </c>
      <c r="AD197" s="5" t="s">
        <v>92</v>
      </c>
      <c r="AE197" s="5">
        <v>71.400000000000006</v>
      </c>
      <c r="AJ197" s="5" t="s">
        <v>1968</v>
      </c>
    </row>
    <row r="198" spans="1:36" x14ac:dyDescent="0.25">
      <c r="A198" s="5" t="s">
        <v>123</v>
      </c>
      <c r="B198" s="5" t="s">
        <v>426</v>
      </c>
      <c r="C198" s="5" t="s">
        <v>427</v>
      </c>
      <c r="D198" s="5" t="s">
        <v>460</v>
      </c>
      <c r="E198" s="5">
        <v>54.433999999999997</v>
      </c>
      <c r="F198" s="5">
        <v>-117.526</v>
      </c>
      <c r="G198" s="6">
        <v>42029</v>
      </c>
      <c r="H198" s="6">
        <v>42043</v>
      </c>
      <c r="I198" s="6">
        <v>42039</v>
      </c>
      <c r="J198" s="6">
        <v>42055</v>
      </c>
      <c r="L198" s="5">
        <v>7</v>
      </c>
      <c r="M198" s="5">
        <v>2.9</v>
      </c>
      <c r="N198" s="5" t="s">
        <v>40</v>
      </c>
      <c r="O198" s="5">
        <v>8730</v>
      </c>
      <c r="P198" s="7">
        <v>42043</v>
      </c>
      <c r="Q198" s="5">
        <v>2015</v>
      </c>
      <c r="T198" s="5" t="s">
        <v>433</v>
      </c>
      <c r="W198" s="5" t="s">
        <v>44</v>
      </c>
      <c r="AC198" s="5">
        <v>40327.37999999999</v>
      </c>
      <c r="AD198" s="5" t="s">
        <v>92</v>
      </c>
      <c r="AE198" s="5">
        <v>71.900000000000006</v>
      </c>
      <c r="AJ198" s="5" t="s">
        <v>444</v>
      </c>
    </row>
    <row r="199" spans="1:36" x14ac:dyDescent="0.25">
      <c r="A199" s="5" t="s">
        <v>123</v>
      </c>
      <c r="B199" s="5" t="s">
        <v>426</v>
      </c>
      <c r="C199" s="5" t="s">
        <v>427</v>
      </c>
      <c r="D199" s="5" t="s">
        <v>1990</v>
      </c>
      <c r="E199" s="5">
        <v>54.384492000000002</v>
      </c>
      <c r="F199" s="5">
        <v>-117.399624</v>
      </c>
      <c r="M199" s="5">
        <v>2.9</v>
      </c>
      <c r="N199" s="5" t="s">
        <v>40</v>
      </c>
      <c r="P199" s="5">
        <v>2015</v>
      </c>
      <c r="Q199" s="5">
        <v>2015</v>
      </c>
      <c r="T199" s="5" t="s">
        <v>433</v>
      </c>
      <c r="W199" s="5" t="s">
        <v>44</v>
      </c>
      <c r="AJ199" s="5" t="s">
        <v>1960</v>
      </c>
    </row>
    <row r="200" spans="1:36" x14ac:dyDescent="0.25">
      <c r="A200" s="5" t="s">
        <v>123</v>
      </c>
      <c r="B200" s="5" t="s">
        <v>426</v>
      </c>
      <c r="C200" s="5" t="s">
        <v>427</v>
      </c>
      <c r="D200" s="5" t="s">
        <v>1991</v>
      </c>
      <c r="E200" s="5">
        <v>54.309600000000003</v>
      </c>
      <c r="F200" s="5">
        <v>-117.620251</v>
      </c>
      <c r="G200" s="5" t="s">
        <v>1980</v>
      </c>
      <c r="H200" s="5" t="s">
        <v>1981</v>
      </c>
      <c r="I200" s="5" t="s">
        <v>1980</v>
      </c>
      <c r="M200" s="5">
        <v>2.9</v>
      </c>
      <c r="N200" s="5" t="s">
        <v>40</v>
      </c>
      <c r="P200" s="5">
        <v>2015</v>
      </c>
      <c r="Q200" s="5">
        <v>2015</v>
      </c>
      <c r="T200" s="5" t="s">
        <v>433</v>
      </c>
      <c r="W200" s="5" t="s">
        <v>44</v>
      </c>
      <c r="AJ200" s="5" t="s">
        <v>1960</v>
      </c>
    </row>
    <row r="201" spans="1:36" x14ac:dyDescent="0.25">
      <c r="A201" s="5" t="s">
        <v>51</v>
      </c>
      <c r="B201" s="5" t="s">
        <v>426</v>
      </c>
      <c r="C201" s="5" t="s">
        <v>427</v>
      </c>
      <c r="D201" s="5" t="s">
        <v>2282</v>
      </c>
      <c r="E201" s="5">
        <v>34.094363000000001</v>
      </c>
      <c r="F201" s="5">
        <v>-97.424021999999994</v>
      </c>
      <c r="M201" s="5">
        <v>2.9</v>
      </c>
      <c r="P201" s="5">
        <v>2014</v>
      </c>
      <c r="Q201" s="5">
        <v>2014</v>
      </c>
      <c r="W201" s="5" t="s">
        <v>44</v>
      </c>
      <c r="AI201" s="5" t="s">
        <v>2283</v>
      </c>
      <c r="AJ201" s="5" t="s">
        <v>2284</v>
      </c>
    </row>
    <row r="202" spans="1:36" x14ac:dyDescent="0.25">
      <c r="A202" s="5" t="s">
        <v>51</v>
      </c>
      <c r="B202" s="5" t="s">
        <v>426</v>
      </c>
      <c r="C202" s="5" t="s">
        <v>427</v>
      </c>
      <c r="D202" s="5" t="s">
        <v>2295</v>
      </c>
      <c r="E202" s="5">
        <v>34.981453999999999</v>
      </c>
      <c r="F202" s="5">
        <v>-97.658196000000004</v>
      </c>
      <c r="M202" s="5">
        <v>2.9</v>
      </c>
      <c r="P202" s="5">
        <v>2012</v>
      </c>
      <c r="Q202" s="5">
        <v>2012</v>
      </c>
      <c r="W202" s="5" t="s">
        <v>44</v>
      </c>
      <c r="AI202" s="5" t="s">
        <v>2283</v>
      </c>
      <c r="AJ202" s="5" t="s">
        <v>2284</v>
      </c>
    </row>
    <row r="203" spans="1:36" x14ac:dyDescent="0.25">
      <c r="A203" s="5" t="s">
        <v>51</v>
      </c>
      <c r="B203" s="5" t="s">
        <v>426</v>
      </c>
      <c r="C203" s="5" t="s">
        <v>427</v>
      </c>
      <c r="D203" s="5" t="s">
        <v>2288</v>
      </c>
      <c r="E203" s="5">
        <v>36.186799999999998</v>
      </c>
      <c r="F203" s="5">
        <v>-98.820458000000002</v>
      </c>
      <c r="M203" s="5">
        <v>2.9</v>
      </c>
      <c r="P203" s="5">
        <v>2015</v>
      </c>
      <c r="Q203" s="5">
        <v>2015</v>
      </c>
      <c r="W203" s="5" t="s">
        <v>44</v>
      </c>
      <c r="AI203" s="5" t="s">
        <v>2283</v>
      </c>
      <c r="AJ203" s="5" t="s">
        <v>2284</v>
      </c>
    </row>
    <row r="204" spans="1:36" x14ac:dyDescent="0.25">
      <c r="A204" s="5" t="s">
        <v>61</v>
      </c>
      <c r="B204" s="5" t="s">
        <v>426</v>
      </c>
      <c r="C204" s="5" t="s">
        <v>427</v>
      </c>
      <c r="D204" s="5" t="s">
        <v>2124</v>
      </c>
      <c r="E204" s="5">
        <v>53.787840000000003</v>
      </c>
      <c r="F204" s="5">
        <v>-2.951047</v>
      </c>
      <c r="G204" s="6"/>
      <c r="H204" s="6"/>
      <c r="I204" s="6"/>
      <c r="J204" s="6"/>
      <c r="L204" s="5">
        <v>134</v>
      </c>
      <c r="M204" s="5">
        <v>2.9</v>
      </c>
      <c r="N204" s="5" t="s">
        <v>65</v>
      </c>
      <c r="O204" s="5">
        <v>2000</v>
      </c>
      <c r="P204" s="7">
        <v>43703</v>
      </c>
      <c r="Q204" s="5">
        <v>2019</v>
      </c>
      <c r="R204" s="6"/>
      <c r="T204" s="5" t="s">
        <v>433</v>
      </c>
      <c r="W204" s="5" t="s">
        <v>44</v>
      </c>
      <c r="AJ204" s="5" t="s">
        <v>2391</v>
      </c>
    </row>
    <row r="205" spans="1:36" x14ac:dyDescent="0.25">
      <c r="A205" s="5" t="s">
        <v>123</v>
      </c>
      <c r="B205" s="5" t="s">
        <v>426</v>
      </c>
      <c r="C205" s="5" t="s">
        <v>427</v>
      </c>
      <c r="D205" s="5" t="s">
        <v>467</v>
      </c>
      <c r="E205" s="5">
        <v>55.903270999999997</v>
      </c>
      <c r="F205" s="5">
        <v>-120.32132900000001</v>
      </c>
      <c r="G205" s="6">
        <v>41565</v>
      </c>
      <c r="H205" s="6">
        <v>41570</v>
      </c>
      <c r="I205" s="6">
        <v>41565</v>
      </c>
      <c r="J205" s="6">
        <v>41575</v>
      </c>
      <c r="L205" s="5">
        <v>16</v>
      </c>
      <c r="M205" s="5">
        <v>2.8</v>
      </c>
      <c r="N205" s="5" t="s">
        <v>65</v>
      </c>
      <c r="P205" s="7">
        <v>41570</v>
      </c>
      <c r="Q205" s="5">
        <v>2013</v>
      </c>
      <c r="R205" s="6"/>
      <c r="S205" s="5">
        <v>3000</v>
      </c>
      <c r="T205" s="5" t="s">
        <v>433</v>
      </c>
      <c r="W205" s="5" t="s">
        <v>44</v>
      </c>
      <c r="AA205" s="10">
        <v>175</v>
      </c>
      <c r="AB205" s="5" t="s">
        <v>118</v>
      </c>
      <c r="AE205" s="5">
        <v>64</v>
      </c>
      <c r="AJ205" s="5" t="s">
        <v>435</v>
      </c>
    </row>
    <row r="206" spans="1:36" x14ac:dyDescent="0.25">
      <c r="A206" s="5" t="s">
        <v>123</v>
      </c>
      <c r="B206" s="5" t="s">
        <v>426</v>
      </c>
      <c r="C206" s="5" t="s">
        <v>427</v>
      </c>
      <c r="D206" s="5" t="s">
        <v>1992</v>
      </c>
      <c r="E206" s="5">
        <v>54.340299999999999</v>
      </c>
      <c r="F206" s="5">
        <v>-117.5639</v>
      </c>
      <c r="M206" s="5">
        <v>2.8</v>
      </c>
      <c r="N206" s="5" t="s">
        <v>40</v>
      </c>
      <c r="P206" s="5">
        <v>2015</v>
      </c>
      <c r="Q206" s="5">
        <v>2015</v>
      </c>
      <c r="T206" s="5" t="s">
        <v>433</v>
      </c>
      <c r="W206" s="5" t="s">
        <v>44</v>
      </c>
      <c r="AJ206" s="5" t="s">
        <v>1960</v>
      </c>
    </row>
    <row r="207" spans="1:36" ht="15" customHeight="1" x14ac:dyDescent="0.25">
      <c r="A207" s="5" t="s">
        <v>51</v>
      </c>
      <c r="B207" s="5" t="s">
        <v>426</v>
      </c>
      <c r="C207" s="5" t="s">
        <v>427</v>
      </c>
      <c r="D207" s="5" t="s">
        <v>2282</v>
      </c>
      <c r="E207" s="5">
        <v>34.057623</v>
      </c>
      <c r="F207" s="5">
        <v>-97.373799000000005</v>
      </c>
      <c r="M207" s="5">
        <v>2.8</v>
      </c>
      <c r="P207" s="5">
        <v>2012</v>
      </c>
      <c r="Q207" s="5">
        <v>2012</v>
      </c>
      <c r="W207" s="5" t="s">
        <v>44</v>
      </c>
      <c r="AI207" s="5" t="s">
        <v>2283</v>
      </c>
      <c r="AJ207" s="5" t="s">
        <v>2284</v>
      </c>
    </row>
    <row r="208" spans="1:36" ht="15" customHeight="1" x14ac:dyDescent="0.25">
      <c r="A208" s="5" t="s">
        <v>51</v>
      </c>
      <c r="B208" s="5" t="s">
        <v>426</v>
      </c>
      <c r="C208" s="5" t="s">
        <v>427</v>
      </c>
      <c r="D208" s="5" t="s">
        <v>2295</v>
      </c>
      <c r="E208" s="5">
        <v>34.993133999999998</v>
      </c>
      <c r="F208" s="5">
        <v>-97.694477000000006</v>
      </c>
      <c r="M208" s="5">
        <v>2.8</v>
      </c>
      <c r="P208" s="5">
        <v>2012</v>
      </c>
      <c r="Q208" s="5">
        <v>2012</v>
      </c>
      <c r="W208" s="5" t="s">
        <v>44</v>
      </c>
      <c r="AI208" s="5" t="s">
        <v>2283</v>
      </c>
      <c r="AJ208" s="5" t="s">
        <v>2284</v>
      </c>
    </row>
    <row r="209" spans="1:36" ht="15" customHeight="1" x14ac:dyDescent="0.25">
      <c r="A209" s="5" t="s">
        <v>51</v>
      </c>
      <c r="B209" s="5" t="s">
        <v>426</v>
      </c>
      <c r="C209" s="5" t="s">
        <v>427</v>
      </c>
      <c r="D209" s="5" t="s">
        <v>2285</v>
      </c>
      <c r="E209" s="5">
        <v>34.649929</v>
      </c>
      <c r="F209" s="5">
        <v>-96.364769999999993</v>
      </c>
      <c r="M209" s="5">
        <v>2.8</v>
      </c>
      <c r="P209" s="5">
        <v>2010</v>
      </c>
      <c r="Q209" s="5">
        <v>2010</v>
      </c>
      <c r="W209" s="5" t="s">
        <v>44</v>
      </c>
      <c r="AI209" s="5" t="s">
        <v>2283</v>
      </c>
      <c r="AJ209" s="5" t="s">
        <v>2284</v>
      </c>
    </row>
    <row r="210" spans="1:36" ht="15" customHeight="1" x14ac:dyDescent="0.25">
      <c r="A210" s="5" t="s">
        <v>51</v>
      </c>
      <c r="B210" s="5" t="s">
        <v>426</v>
      </c>
      <c r="C210" s="5" t="s">
        <v>427</v>
      </c>
      <c r="D210" s="5" t="s">
        <v>2285</v>
      </c>
      <c r="E210" s="5">
        <v>34.680872999999998</v>
      </c>
      <c r="F210" s="5">
        <v>-96.380004999999997</v>
      </c>
      <c r="M210" s="5">
        <v>2.8</v>
      </c>
      <c r="P210" s="5">
        <v>2010</v>
      </c>
      <c r="Q210" s="5">
        <v>2010</v>
      </c>
      <c r="W210" s="5" t="s">
        <v>44</v>
      </c>
      <c r="AI210" s="5" t="s">
        <v>2283</v>
      </c>
      <c r="AJ210" s="5" t="s">
        <v>2284</v>
      </c>
    </row>
    <row r="211" spans="1:36" ht="15" customHeight="1" x14ac:dyDescent="0.25">
      <c r="A211" s="5" t="s">
        <v>51</v>
      </c>
      <c r="B211" s="5" t="s">
        <v>426</v>
      </c>
      <c r="C211" s="5" t="s">
        <v>427</v>
      </c>
      <c r="D211" s="5" t="s">
        <v>2287</v>
      </c>
      <c r="E211" s="5">
        <v>36.623528</v>
      </c>
      <c r="F211" s="5">
        <v>-97.260436999999996</v>
      </c>
      <c r="M211" s="5">
        <v>2.8</v>
      </c>
      <c r="P211" s="5">
        <v>2014</v>
      </c>
      <c r="Q211" s="5">
        <v>2014</v>
      </c>
      <c r="W211" s="5" t="s">
        <v>44</v>
      </c>
      <c r="AI211" s="5" t="s">
        <v>2283</v>
      </c>
      <c r="AJ211" s="5" t="s">
        <v>2284</v>
      </c>
    </row>
    <row r="212" spans="1:36" ht="15" customHeight="1" x14ac:dyDescent="0.25">
      <c r="A212" s="5" t="s">
        <v>51</v>
      </c>
      <c r="B212" s="5" t="s">
        <v>426</v>
      </c>
      <c r="C212" s="5" t="s">
        <v>427</v>
      </c>
      <c r="D212" s="5" t="s">
        <v>2296</v>
      </c>
      <c r="E212" s="5">
        <v>36.071357999999996</v>
      </c>
      <c r="F212" s="5">
        <v>-97.883172999999999</v>
      </c>
      <c r="M212" s="5">
        <v>2.8</v>
      </c>
      <c r="P212" s="5">
        <v>2016</v>
      </c>
      <c r="Q212" s="5">
        <v>2016</v>
      </c>
      <c r="W212" s="5" t="s">
        <v>44</v>
      </c>
      <c r="AI212" s="5" t="s">
        <v>2283</v>
      </c>
      <c r="AJ212" s="5" t="s">
        <v>2284</v>
      </c>
    </row>
    <row r="213" spans="1:36" x14ac:dyDescent="0.25">
      <c r="A213" s="5" t="s">
        <v>51</v>
      </c>
      <c r="B213" s="5" t="s">
        <v>426</v>
      </c>
      <c r="C213" s="5" t="s">
        <v>427</v>
      </c>
      <c r="D213" s="5" t="s">
        <v>2296</v>
      </c>
      <c r="E213" s="5">
        <v>36.071357999999996</v>
      </c>
      <c r="F213" s="5">
        <v>-97.883172999999999</v>
      </c>
      <c r="M213" s="5">
        <v>2.8</v>
      </c>
      <c r="P213" s="5">
        <v>2016</v>
      </c>
      <c r="Q213" s="5">
        <v>2016</v>
      </c>
      <c r="W213" s="5" t="s">
        <v>44</v>
      </c>
      <c r="AI213" s="5" t="s">
        <v>2283</v>
      </c>
      <c r="AJ213" s="5" t="s">
        <v>2284</v>
      </c>
    </row>
    <row r="214" spans="1:36" x14ac:dyDescent="0.25">
      <c r="A214" s="5" t="s">
        <v>51</v>
      </c>
      <c r="B214" s="5" t="s">
        <v>426</v>
      </c>
      <c r="C214" s="5" t="s">
        <v>427</v>
      </c>
      <c r="D214" s="5" t="s">
        <v>2296</v>
      </c>
      <c r="E214" s="5">
        <v>36.071357999999996</v>
      </c>
      <c r="F214" s="5">
        <v>-97.883172999999999</v>
      </c>
      <c r="M214" s="5">
        <v>2.8</v>
      </c>
      <c r="P214" s="5">
        <v>2016</v>
      </c>
      <c r="Q214" s="5">
        <v>2016</v>
      </c>
      <c r="W214" s="5" t="s">
        <v>44</v>
      </c>
      <c r="AI214" s="5" t="s">
        <v>2283</v>
      </c>
      <c r="AJ214" s="5" t="s">
        <v>2284</v>
      </c>
    </row>
    <row r="215" spans="1:36" x14ac:dyDescent="0.25">
      <c r="A215" s="5" t="s">
        <v>51</v>
      </c>
      <c r="B215" s="5" t="s">
        <v>426</v>
      </c>
      <c r="C215" s="5" t="s">
        <v>427</v>
      </c>
      <c r="D215" s="5" t="s">
        <v>2288</v>
      </c>
      <c r="E215" s="5">
        <v>36.217112999999998</v>
      </c>
      <c r="F215" s="5">
        <v>-98.927435000000003</v>
      </c>
      <c r="M215" s="5">
        <v>2.8</v>
      </c>
      <c r="P215" s="5">
        <v>2016</v>
      </c>
      <c r="Q215" s="5">
        <v>2016</v>
      </c>
      <c r="W215" s="5" t="s">
        <v>44</v>
      </c>
      <c r="AI215" s="5" t="s">
        <v>2283</v>
      </c>
      <c r="AJ215" s="5" t="s">
        <v>2284</v>
      </c>
    </row>
    <row r="216" spans="1:36" ht="15" customHeight="1" x14ac:dyDescent="0.25">
      <c r="A216" s="5" t="s">
        <v>51</v>
      </c>
      <c r="B216" s="5" t="s">
        <v>426</v>
      </c>
      <c r="C216" s="5" t="s">
        <v>427</v>
      </c>
      <c r="D216" s="5" t="s">
        <v>2297</v>
      </c>
      <c r="E216" s="5">
        <v>35.667912999999999</v>
      </c>
      <c r="F216" s="5">
        <v>-98.164574999999999</v>
      </c>
      <c r="M216" s="5">
        <v>2.8</v>
      </c>
      <c r="P216" s="5">
        <v>2014</v>
      </c>
      <c r="Q216" s="5">
        <v>2014</v>
      </c>
      <c r="W216" s="5" t="s">
        <v>44</v>
      </c>
      <c r="AI216" s="5" t="s">
        <v>2283</v>
      </c>
      <c r="AJ216" s="5" t="s">
        <v>2284</v>
      </c>
    </row>
    <row r="217" spans="1:36" x14ac:dyDescent="0.25">
      <c r="A217" s="5" t="s">
        <v>51</v>
      </c>
      <c r="B217" s="5" t="s">
        <v>426</v>
      </c>
      <c r="C217" s="5" t="s">
        <v>427</v>
      </c>
      <c r="D217" s="5" t="s">
        <v>2298</v>
      </c>
      <c r="E217" s="5">
        <v>35.550837999999999</v>
      </c>
      <c r="F217" s="5">
        <v>-98.074832999999998</v>
      </c>
      <c r="M217" s="5">
        <v>2.8</v>
      </c>
      <c r="P217" s="5">
        <v>2012</v>
      </c>
      <c r="Q217" s="5">
        <v>2012</v>
      </c>
      <c r="W217" s="5" t="s">
        <v>44</v>
      </c>
      <c r="AI217" s="5" t="s">
        <v>2283</v>
      </c>
      <c r="AJ217" s="5" t="s">
        <v>2284</v>
      </c>
    </row>
    <row r="218" spans="1:36" x14ac:dyDescent="0.25">
      <c r="A218" s="5" t="s">
        <v>51</v>
      </c>
      <c r="B218" s="5" t="s">
        <v>426</v>
      </c>
      <c r="C218" s="5" t="s">
        <v>427</v>
      </c>
      <c r="D218" s="5" t="s">
        <v>2292</v>
      </c>
      <c r="E218" s="5">
        <v>35.117277000000001</v>
      </c>
      <c r="F218" s="5">
        <v>-97.901027999999997</v>
      </c>
      <c r="M218" s="5">
        <v>2.8</v>
      </c>
      <c r="P218" s="5">
        <v>2013</v>
      </c>
      <c r="Q218" s="5">
        <v>2013</v>
      </c>
      <c r="W218" s="5" t="s">
        <v>44</v>
      </c>
      <c r="AI218" s="5" t="s">
        <v>2283</v>
      </c>
      <c r="AJ218" s="5" t="s">
        <v>2284</v>
      </c>
    </row>
    <row r="219" spans="1:36" x14ac:dyDescent="0.25">
      <c r="A219" s="5" t="s">
        <v>51</v>
      </c>
      <c r="B219" s="5" t="s">
        <v>426</v>
      </c>
      <c r="C219" s="5" t="s">
        <v>427</v>
      </c>
      <c r="D219" s="5" t="s">
        <v>2299</v>
      </c>
      <c r="E219" s="5">
        <v>34.129807999999997</v>
      </c>
      <c r="F219" s="5">
        <v>-96.901521000000002</v>
      </c>
      <c r="M219" s="5">
        <v>2.8</v>
      </c>
      <c r="P219" s="5">
        <v>2012</v>
      </c>
      <c r="Q219" s="5">
        <v>2012</v>
      </c>
      <c r="W219" s="5" t="s">
        <v>44</v>
      </c>
      <c r="AI219" s="5" t="s">
        <v>2283</v>
      </c>
      <c r="AJ219" s="5" t="s">
        <v>2284</v>
      </c>
    </row>
    <row r="220" spans="1:36" x14ac:dyDescent="0.25">
      <c r="A220" s="5" t="s">
        <v>51</v>
      </c>
      <c r="B220" s="5" t="s">
        <v>426</v>
      </c>
      <c r="C220" s="5" t="s">
        <v>427</v>
      </c>
      <c r="D220" s="5" t="s">
        <v>2300</v>
      </c>
      <c r="E220" s="5">
        <v>34.493039000000003</v>
      </c>
      <c r="F220" s="5">
        <v>-97.700905000000006</v>
      </c>
      <c r="M220" s="5">
        <v>2.8</v>
      </c>
      <c r="P220" s="5">
        <v>2014</v>
      </c>
      <c r="Q220" s="5">
        <v>2014</v>
      </c>
      <c r="W220" s="5" t="s">
        <v>44</v>
      </c>
      <c r="AI220" s="5" t="s">
        <v>2283</v>
      </c>
      <c r="AJ220" s="5" t="s">
        <v>2284</v>
      </c>
    </row>
    <row r="221" spans="1:36" ht="15" customHeight="1" x14ac:dyDescent="0.25">
      <c r="A221" s="5" t="s">
        <v>51</v>
      </c>
      <c r="B221" s="5" t="s">
        <v>426</v>
      </c>
      <c r="C221" s="5" t="s">
        <v>427</v>
      </c>
      <c r="D221" s="5" t="s">
        <v>2301</v>
      </c>
      <c r="E221" s="5">
        <v>38.848801000000002</v>
      </c>
      <c r="F221" s="5">
        <v>-80.945552000000006</v>
      </c>
      <c r="L221" s="5">
        <v>52</v>
      </c>
      <c r="M221" s="5">
        <v>2.7</v>
      </c>
      <c r="P221" s="5">
        <v>2013</v>
      </c>
      <c r="Q221" s="5">
        <v>2013</v>
      </c>
      <c r="T221" s="5" t="s">
        <v>433</v>
      </c>
      <c r="W221" s="5" t="s">
        <v>44</v>
      </c>
      <c r="AJ221" s="5" t="s">
        <v>2302</v>
      </c>
    </row>
    <row r="222" spans="1:36" ht="15" customHeight="1" x14ac:dyDescent="0.25">
      <c r="A222" s="5" t="s">
        <v>51</v>
      </c>
      <c r="B222" s="5" t="s">
        <v>426</v>
      </c>
      <c r="C222" s="5" t="s">
        <v>427</v>
      </c>
      <c r="D222" s="5" t="s">
        <v>2303</v>
      </c>
      <c r="E222" s="5">
        <v>40.421579000000001</v>
      </c>
      <c r="F222" s="5">
        <v>-81.165447</v>
      </c>
      <c r="I222" s="5" t="s">
        <v>2304</v>
      </c>
      <c r="L222" s="5">
        <v>129</v>
      </c>
      <c r="M222" s="5">
        <v>2.7</v>
      </c>
      <c r="P222" s="5">
        <v>2016</v>
      </c>
      <c r="Q222" s="5">
        <v>2016</v>
      </c>
      <c r="T222" s="5" t="s">
        <v>433</v>
      </c>
      <c r="W222" s="5" t="s">
        <v>44</v>
      </c>
      <c r="AJ222" s="5" t="s">
        <v>2305</v>
      </c>
    </row>
    <row r="223" spans="1:36" x14ac:dyDescent="0.25">
      <c r="A223" s="5" t="s">
        <v>123</v>
      </c>
      <c r="B223" s="5" t="s">
        <v>426</v>
      </c>
      <c r="C223" s="5" t="s">
        <v>427</v>
      </c>
      <c r="D223" s="5" t="s">
        <v>468</v>
      </c>
      <c r="E223" s="5">
        <v>54.473999999999997</v>
      </c>
      <c r="F223" s="5">
        <v>-117.226</v>
      </c>
      <c r="G223" s="6">
        <v>42023</v>
      </c>
      <c r="H223" s="6">
        <v>42071</v>
      </c>
      <c r="I223" s="6">
        <v>42051</v>
      </c>
      <c r="J223" s="6">
        <v>42073</v>
      </c>
      <c r="L223" s="5">
        <v>28</v>
      </c>
      <c r="M223" s="5">
        <v>2.7</v>
      </c>
      <c r="N223" s="5" t="s">
        <v>40</v>
      </c>
      <c r="O223" s="5">
        <v>3460</v>
      </c>
      <c r="P223" s="7">
        <v>42070</v>
      </c>
      <c r="Q223" s="5">
        <v>2015</v>
      </c>
      <c r="R223" s="6"/>
      <c r="T223" s="5" t="s">
        <v>433</v>
      </c>
      <c r="W223" s="5" t="s">
        <v>44</v>
      </c>
      <c r="AA223" s="10"/>
      <c r="AC223" s="5">
        <v>507973.20000000019</v>
      </c>
      <c r="AD223" s="5" t="s">
        <v>92</v>
      </c>
      <c r="AE223" s="5">
        <v>76.400000000000006</v>
      </c>
      <c r="AJ223" s="5" t="s">
        <v>444</v>
      </c>
    </row>
    <row r="224" spans="1:36" ht="15" customHeight="1" x14ac:dyDescent="0.25">
      <c r="A224" s="5" t="s">
        <v>51</v>
      </c>
      <c r="B224" s="5" t="s">
        <v>426</v>
      </c>
      <c r="C224" s="5" t="s">
        <v>427</v>
      </c>
      <c r="D224" s="5" t="s">
        <v>2286</v>
      </c>
      <c r="E224" s="5">
        <v>35.782606999999999</v>
      </c>
      <c r="F224" s="5">
        <v>-98.544454000000002</v>
      </c>
      <c r="M224" s="5">
        <v>2.7</v>
      </c>
      <c r="P224" s="5">
        <v>2015</v>
      </c>
      <c r="Q224" s="5">
        <v>2015</v>
      </c>
      <c r="W224" s="5" t="s">
        <v>44</v>
      </c>
      <c r="AI224" s="5" t="s">
        <v>2283</v>
      </c>
      <c r="AJ224" s="5" t="s">
        <v>2284</v>
      </c>
    </row>
    <row r="225" spans="1:36" x14ac:dyDescent="0.25">
      <c r="A225" s="5" t="s">
        <v>51</v>
      </c>
      <c r="B225" s="5" t="s">
        <v>426</v>
      </c>
      <c r="C225" s="5" t="s">
        <v>427</v>
      </c>
      <c r="D225" s="5" t="s">
        <v>2306</v>
      </c>
      <c r="E225" s="5">
        <v>34.907479000000002</v>
      </c>
      <c r="F225" s="5">
        <v>-97.744945999999999</v>
      </c>
      <c r="M225" s="5">
        <v>2.7</v>
      </c>
      <c r="P225" s="5">
        <v>2011</v>
      </c>
      <c r="Q225" s="5">
        <v>2011</v>
      </c>
      <c r="W225" s="5" t="s">
        <v>44</v>
      </c>
      <c r="AI225" s="5" t="s">
        <v>2283</v>
      </c>
      <c r="AJ225" s="5" t="s">
        <v>2284</v>
      </c>
    </row>
    <row r="226" spans="1:36" x14ac:dyDescent="0.25">
      <c r="A226" s="5" t="s">
        <v>51</v>
      </c>
      <c r="B226" s="5" t="s">
        <v>426</v>
      </c>
      <c r="C226" s="5" t="s">
        <v>427</v>
      </c>
      <c r="D226" s="5" t="s">
        <v>2307</v>
      </c>
      <c r="E226" s="5">
        <v>34.30292</v>
      </c>
      <c r="F226" s="5">
        <v>-97.582882999999995</v>
      </c>
      <c r="M226" s="5">
        <v>2.7</v>
      </c>
      <c r="P226" s="5">
        <v>2015</v>
      </c>
      <c r="Q226" s="5">
        <v>2015</v>
      </c>
      <c r="W226" s="5" t="s">
        <v>44</v>
      </c>
      <c r="AI226" s="5" t="s">
        <v>2283</v>
      </c>
      <c r="AJ226" s="5" t="s">
        <v>2284</v>
      </c>
    </row>
    <row r="227" spans="1:36" x14ac:dyDescent="0.25">
      <c r="A227" s="5" t="s">
        <v>51</v>
      </c>
      <c r="B227" s="5" t="s">
        <v>426</v>
      </c>
      <c r="C227" s="5" t="s">
        <v>427</v>
      </c>
      <c r="D227" s="5" t="s">
        <v>2300</v>
      </c>
      <c r="E227" s="5">
        <v>34.477497999999997</v>
      </c>
      <c r="F227" s="5">
        <v>-97.753005999999999</v>
      </c>
      <c r="M227" s="5">
        <v>2.7</v>
      </c>
      <c r="P227" s="5">
        <v>2015</v>
      </c>
      <c r="Q227" s="5">
        <v>2015</v>
      </c>
      <c r="W227" s="5" t="s">
        <v>44</v>
      </c>
      <c r="AI227" s="5" t="s">
        <v>2283</v>
      </c>
      <c r="AJ227" s="5" t="s">
        <v>2284</v>
      </c>
    </row>
    <row r="228" spans="1:36" x14ac:dyDescent="0.25">
      <c r="A228" s="5" t="s">
        <v>123</v>
      </c>
      <c r="B228" s="5" t="s">
        <v>426</v>
      </c>
      <c r="C228" s="5" t="s">
        <v>427</v>
      </c>
      <c r="D228" s="5" t="s">
        <v>2410</v>
      </c>
      <c r="E228" s="5">
        <v>51.9358</v>
      </c>
      <c r="F228" s="5">
        <v>-114.38630000000001</v>
      </c>
      <c r="G228" s="6"/>
      <c r="H228" s="6"/>
      <c r="I228" s="6"/>
      <c r="J228" s="6"/>
      <c r="L228" s="5">
        <v>15</v>
      </c>
      <c r="M228" s="5">
        <v>2.61</v>
      </c>
      <c r="N228" s="5" t="s">
        <v>65</v>
      </c>
      <c r="O228" s="5">
        <v>3200</v>
      </c>
      <c r="P228" s="7">
        <v>41904</v>
      </c>
      <c r="Q228" s="5">
        <v>2014</v>
      </c>
      <c r="R228" s="6"/>
      <c r="T228" s="5" t="s">
        <v>433</v>
      </c>
      <c r="W228" s="5" t="s">
        <v>44</v>
      </c>
      <c r="AA228" s="10"/>
      <c r="AI228" s="5" t="s">
        <v>2407</v>
      </c>
      <c r="AJ228" s="5" t="s">
        <v>2408</v>
      </c>
    </row>
    <row r="229" spans="1:36" x14ac:dyDescent="0.25">
      <c r="A229" s="5" t="s">
        <v>51</v>
      </c>
      <c r="B229" s="5" t="s">
        <v>426</v>
      </c>
      <c r="C229" s="5" t="s">
        <v>427</v>
      </c>
      <c r="D229" s="5" t="s">
        <v>2308</v>
      </c>
      <c r="E229" s="5">
        <v>40.078668999999998</v>
      </c>
      <c r="F229" s="5">
        <v>-81.224506000000005</v>
      </c>
      <c r="G229" s="6">
        <v>41757</v>
      </c>
      <c r="H229" s="6">
        <v>41780</v>
      </c>
      <c r="I229" s="6">
        <v>41777</v>
      </c>
      <c r="J229" s="6"/>
      <c r="L229" s="5">
        <v>182</v>
      </c>
      <c r="M229" s="5">
        <v>2.6</v>
      </c>
      <c r="N229" s="5" t="s">
        <v>65</v>
      </c>
      <c r="P229" s="7">
        <v>41777</v>
      </c>
      <c r="Q229" s="5">
        <v>2014</v>
      </c>
      <c r="R229" s="6"/>
      <c r="T229" s="5" t="s">
        <v>433</v>
      </c>
      <c r="V229" s="5">
        <v>2475</v>
      </c>
      <c r="W229" s="5" t="s">
        <v>44</v>
      </c>
      <c r="AA229" s="10"/>
      <c r="AJ229" s="5" t="s">
        <v>2309</v>
      </c>
    </row>
    <row r="230" spans="1:36" x14ac:dyDescent="0.25">
      <c r="A230" s="5" t="s">
        <v>51</v>
      </c>
      <c r="B230" s="5" t="s">
        <v>426</v>
      </c>
      <c r="C230" s="5" t="s">
        <v>427</v>
      </c>
      <c r="D230" s="5" t="s">
        <v>2310</v>
      </c>
      <c r="E230" s="5">
        <v>40.224783000000002</v>
      </c>
      <c r="F230" s="5">
        <v>-81.178578999999999</v>
      </c>
      <c r="G230" s="6"/>
      <c r="H230" s="6"/>
      <c r="I230" s="6">
        <v>42232</v>
      </c>
      <c r="J230" s="6">
        <v>42333</v>
      </c>
      <c r="L230" s="5">
        <v>3789</v>
      </c>
      <c r="M230" s="5">
        <v>2.6</v>
      </c>
      <c r="N230" s="5" t="s">
        <v>65</v>
      </c>
      <c r="P230" s="5">
        <v>2015</v>
      </c>
      <c r="Q230" s="5">
        <v>2015</v>
      </c>
      <c r="R230" s="6"/>
      <c r="T230" s="5" t="s">
        <v>433</v>
      </c>
      <c r="U230" s="5" t="s">
        <v>2311</v>
      </c>
      <c r="V230" s="5">
        <v>2400</v>
      </c>
      <c r="W230" s="5" t="s">
        <v>44</v>
      </c>
      <c r="AE230" s="5">
        <v>69.3</v>
      </c>
      <c r="AJ230" s="5" t="s">
        <v>2312</v>
      </c>
    </row>
    <row r="231" spans="1:36" x14ac:dyDescent="0.25">
      <c r="A231" s="5" t="s">
        <v>51</v>
      </c>
      <c r="B231" s="5" t="s">
        <v>426</v>
      </c>
      <c r="C231" s="5" t="s">
        <v>427</v>
      </c>
      <c r="D231" s="5" t="s">
        <v>2295</v>
      </c>
      <c r="E231" s="5">
        <v>35.102834000000001</v>
      </c>
      <c r="F231" s="5">
        <v>-97.506406999999996</v>
      </c>
      <c r="M231" s="5">
        <v>2.6</v>
      </c>
      <c r="P231" s="5">
        <v>2012</v>
      </c>
      <c r="Q231" s="5">
        <v>2012</v>
      </c>
      <c r="W231" s="5" t="s">
        <v>44</v>
      </c>
      <c r="AI231" s="5" t="s">
        <v>2283</v>
      </c>
      <c r="AJ231" s="5" t="s">
        <v>2284</v>
      </c>
    </row>
    <row r="232" spans="1:36" x14ac:dyDescent="0.25">
      <c r="A232" s="5" t="s">
        <v>51</v>
      </c>
      <c r="B232" s="5" t="s">
        <v>426</v>
      </c>
      <c r="C232" s="5" t="s">
        <v>427</v>
      </c>
      <c r="D232" s="5" t="s">
        <v>2295</v>
      </c>
      <c r="E232" s="5">
        <v>35.014074000000001</v>
      </c>
      <c r="F232" s="5">
        <v>-97.662385999999998</v>
      </c>
      <c r="M232" s="5">
        <v>2.6</v>
      </c>
      <c r="P232" s="5">
        <v>2017</v>
      </c>
      <c r="Q232" s="5">
        <v>2017</v>
      </c>
      <c r="W232" s="5" t="s">
        <v>44</v>
      </c>
      <c r="AI232" s="5" t="s">
        <v>2283</v>
      </c>
      <c r="AJ232" s="5" t="s">
        <v>2284</v>
      </c>
    </row>
    <row r="233" spans="1:36" x14ac:dyDescent="0.25">
      <c r="A233" s="5" t="s">
        <v>51</v>
      </c>
      <c r="B233" s="5" t="s">
        <v>426</v>
      </c>
      <c r="C233" s="5" t="s">
        <v>427</v>
      </c>
      <c r="D233" s="5" t="s">
        <v>2285</v>
      </c>
      <c r="E233" s="5">
        <v>34.679321999999999</v>
      </c>
      <c r="F233" s="5">
        <v>-96.362330999999998</v>
      </c>
      <c r="M233" s="5">
        <v>2.6</v>
      </c>
      <c r="P233" s="5">
        <v>2011</v>
      </c>
      <c r="Q233" s="5">
        <v>2011</v>
      </c>
      <c r="W233" s="5" t="s">
        <v>44</v>
      </c>
      <c r="AI233" s="5" t="s">
        <v>2283</v>
      </c>
      <c r="AJ233" s="5" t="s">
        <v>2284</v>
      </c>
    </row>
    <row r="234" spans="1:36" x14ac:dyDescent="0.25">
      <c r="A234" s="5" t="s">
        <v>51</v>
      </c>
      <c r="B234" s="5" t="s">
        <v>426</v>
      </c>
      <c r="C234" s="5" t="s">
        <v>427</v>
      </c>
      <c r="D234" s="5" t="s">
        <v>2298</v>
      </c>
      <c r="E234" s="5">
        <v>35.436338999999997</v>
      </c>
      <c r="F234" s="5">
        <v>-97.917906000000002</v>
      </c>
      <c r="M234" s="5">
        <v>2.6</v>
      </c>
      <c r="P234" s="5">
        <v>2016</v>
      </c>
      <c r="Q234" s="5">
        <v>2016</v>
      </c>
      <c r="W234" s="5" t="s">
        <v>44</v>
      </c>
      <c r="AI234" s="5" t="s">
        <v>2283</v>
      </c>
      <c r="AJ234" s="5" t="s">
        <v>2284</v>
      </c>
    </row>
    <row r="235" spans="1:36" x14ac:dyDescent="0.25">
      <c r="A235" s="5" t="s">
        <v>51</v>
      </c>
      <c r="B235" s="5" t="s">
        <v>426</v>
      </c>
      <c r="C235" s="5" t="s">
        <v>427</v>
      </c>
      <c r="D235" s="5" t="s">
        <v>2292</v>
      </c>
      <c r="E235" s="5">
        <v>35.031202999999998</v>
      </c>
      <c r="F235" s="5">
        <v>-97.796732000000006</v>
      </c>
      <c r="M235" s="5">
        <v>2.6</v>
      </c>
      <c r="P235" s="5">
        <v>2014</v>
      </c>
      <c r="Q235" s="5">
        <v>2014</v>
      </c>
      <c r="W235" s="5" t="s">
        <v>44</v>
      </c>
      <c r="AI235" s="5" t="s">
        <v>2283</v>
      </c>
      <c r="AJ235" s="5" t="s">
        <v>2284</v>
      </c>
    </row>
    <row r="236" spans="1:36" x14ac:dyDescent="0.25">
      <c r="A236" s="5" t="s">
        <v>51</v>
      </c>
      <c r="B236" s="5" t="s">
        <v>426</v>
      </c>
      <c r="C236" s="5" t="s">
        <v>427</v>
      </c>
      <c r="D236" s="5" t="s">
        <v>2306</v>
      </c>
      <c r="E236" s="5">
        <v>34.863688000000003</v>
      </c>
      <c r="F236" s="5">
        <v>-97.721810000000005</v>
      </c>
      <c r="M236" s="5">
        <v>2.6</v>
      </c>
      <c r="P236" s="5">
        <v>2010</v>
      </c>
      <c r="Q236" s="5">
        <v>2010</v>
      </c>
      <c r="W236" s="5" t="s">
        <v>44</v>
      </c>
      <c r="AI236" s="5" t="s">
        <v>2283</v>
      </c>
      <c r="AJ236" s="5" t="s">
        <v>2284</v>
      </c>
    </row>
    <row r="237" spans="1:36" x14ac:dyDescent="0.25">
      <c r="A237" s="5" t="s">
        <v>51</v>
      </c>
      <c r="B237" s="5" t="s">
        <v>426</v>
      </c>
      <c r="C237" s="5" t="s">
        <v>427</v>
      </c>
      <c r="D237" s="5" t="s">
        <v>2307</v>
      </c>
      <c r="E237" s="5">
        <v>34.283060999999996</v>
      </c>
      <c r="F237" s="5">
        <v>-97.446169999999995</v>
      </c>
      <c r="M237" s="5">
        <v>2.6</v>
      </c>
      <c r="P237" s="5">
        <v>2010</v>
      </c>
      <c r="Q237" s="5">
        <v>2010</v>
      </c>
      <c r="W237" s="5" t="s">
        <v>44</v>
      </c>
      <c r="AI237" s="5" t="s">
        <v>2283</v>
      </c>
      <c r="AJ237" s="5" t="s">
        <v>2284</v>
      </c>
    </row>
    <row r="238" spans="1:36" x14ac:dyDescent="0.25">
      <c r="A238" s="5" t="s">
        <v>51</v>
      </c>
      <c r="B238" s="5" t="s">
        <v>426</v>
      </c>
      <c r="C238" s="5" t="s">
        <v>427</v>
      </c>
      <c r="D238" s="5" t="s">
        <v>2282</v>
      </c>
      <c r="E238" s="5">
        <v>34.099378000000002</v>
      </c>
      <c r="F238" s="5">
        <v>-97.482805999999997</v>
      </c>
      <c r="M238" s="5">
        <v>2.5</v>
      </c>
      <c r="P238" s="5">
        <v>2014</v>
      </c>
      <c r="Q238" s="5">
        <v>2014</v>
      </c>
      <c r="W238" s="5" t="s">
        <v>44</v>
      </c>
      <c r="AI238" s="5" t="s">
        <v>2283</v>
      </c>
      <c r="AJ238" s="5" t="s">
        <v>2284</v>
      </c>
    </row>
    <row r="239" spans="1:36" x14ac:dyDescent="0.25">
      <c r="A239" s="5" t="s">
        <v>51</v>
      </c>
      <c r="B239" s="5" t="s">
        <v>426</v>
      </c>
      <c r="C239" s="5" t="s">
        <v>427</v>
      </c>
      <c r="D239" s="5" t="s">
        <v>2285</v>
      </c>
      <c r="E239" s="5">
        <v>34.608944999999999</v>
      </c>
      <c r="F239" s="5">
        <v>-96.425832</v>
      </c>
      <c r="M239" s="5">
        <v>2.5</v>
      </c>
      <c r="P239" s="5">
        <v>2012</v>
      </c>
      <c r="Q239" s="5">
        <v>2012</v>
      </c>
      <c r="W239" s="5" t="s">
        <v>44</v>
      </c>
      <c r="AI239" s="5" t="s">
        <v>2283</v>
      </c>
      <c r="AJ239" s="5" t="s">
        <v>2284</v>
      </c>
    </row>
    <row r="240" spans="1:36" x14ac:dyDescent="0.25">
      <c r="A240" s="5" t="s">
        <v>51</v>
      </c>
      <c r="B240" s="5" t="s">
        <v>426</v>
      </c>
      <c r="C240" s="5" t="s">
        <v>427</v>
      </c>
      <c r="D240" s="5" t="s">
        <v>2313</v>
      </c>
      <c r="E240" s="5">
        <v>34.407283</v>
      </c>
      <c r="F240" s="5">
        <v>-97.617155999999994</v>
      </c>
      <c r="M240" s="5">
        <v>2.5</v>
      </c>
      <c r="P240" s="5">
        <v>2014</v>
      </c>
      <c r="Q240" s="5">
        <v>2014</v>
      </c>
      <c r="W240" s="5" t="s">
        <v>44</v>
      </c>
      <c r="AI240" s="5" t="s">
        <v>2283</v>
      </c>
      <c r="AJ240" s="5" t="s">
        <v>2284</v>
      </c>
    </row>
    <row r="241" spans="1:36" ht="15" customHeight="1" x14ac:dyDescent="0.25">
      <c r="A241" s="5" t="s">
        <v>51</v>
      </c>
      <c r="B241" s="5" t="s">
        <v>426</v>
      </c>
      <c r="C241" s="5" t="s">
        <v>427</v>
      </c>
      <c r="D241" s="5" t="s">
        <v>2313</v>
      </c>
      <c r="E241" s="5">
        <v>34.402138000000001</v>
      </c>
      <c r="F241" s="5">
        <v>-97.616287</v>
      </c>
      <c r="M241" s="5">
        <v>2.5</v>
      </c>
      <c r="P241" s="5">
        <v>2013</v>
      </c>
      <c r="Q241" s="5">
        <v>2013</v>
      </c>
      <c r="W241" s="5" t="s">
        <v>44</v>
      </c>
      <c r="AI241" s="5" t="s">
        <v>2283</v>
      </c>
      <c r="AJ241" s="5" t="s">
        <v>2284</v>
      </c>
    </row>
    <row r="242" spans="1:36" ht="15" customHeight="1" x14ac:dyDescent="0.25">
      <c r="A242" s="5" t="s">
        <v>51</v>
      </c>
      <c r="B242" s="5" t="s">
        <v>426</v>
      </c>
      <c r="C242" s="5" t="s">
        <v>427</v>
      </c>
      <c r="D242" s="5" t="s">
        <v>2297</v>
      </c>
      <c r="E242" s="5">
        <v>35.710625</v>
      </c>
      <c r="F242" s="5">
        <v>-98.028701999999996</v>
      </c>
      <c r="M242" s="5">
        <v>2.5</v>
      </c>
      <c r="P242" s="5">
        <v>2016</v>
      </c>
      <c r="Q242" s="5">
        <v>2016</v>
      </c>
      <c r="W242" s="5" t="s">
        <v>44</v>
      </c>
      <c r="AI242" s="5" t="s">
        <v>2283</v>
      </c>
      <c r="AJ242" s="5" t="s">
        <v>2284</v>
      </c>
    </row>
    <row r="243" spans="1:36" x14ac:dyDescent="0.25">
      <c r="A243" s="5" t="s">
        <v>51</v>
      </c>
      <c r="B243" s="5" t="s">
        <v>426</v>
      </c>
      <c r="C243" s="5" t="s">
        <v>427</v>
      </c>
      <c r="D243" s="5" t="s">
        <v>2314</v>
      </c>
      <c r="E243" s="5">
        <v>34.558664999999998</v>
      </c>
      <c r="F243" s="5">
        <v>-97.470027000000002</v>
      </c>
      <c r="M243" s="5">
        <v>2.5</v>
      </c>
      <c r="P243" s="5">
        <v>2012</v>
      </c>
      <c r="Q243" s="5">
        <v>2012</v>
      </c>
      <c r="W243" s="5" t="s">
        <v>44</v>
      </c>
      <c r="AI243" s="5" t="s">
        <v>2283</v>
      </c>
      <c r="AJ243" s="5" t="s">
        <v>2284</v>
      </c>
    </row>
    <row r="244" spans="1:36" x14ac:dyDescent="0.25">
      <c r="A244" s="5" t="s">
        <v>51</v>
      </c>
      <c r="B244" s="5" t="s">
        <v>426</v>
      </c>
      <c r="C244" s="5" t="s">
        <v>427</v>
      </c>
      <c r="D244" s="5" t="s">
        <v>2287</v>
      </c>
      <c r="E244" s="5">
        <v>36.639161000000001</v>
      </c>
      <c r="F244" s="5">
        <v>-97.406891000000002</v>
      </c>
      <c r="M244" s="5">
        <v>2.4</v>
      </c>
      <c r="P244" s="5">
        <v>2015</v>
      </c>
      <c r="Q244" s="5">
        <v>2015</v>
      </c>
      <c r="W244" s="5" t="s">
        <v>44</v>
      </c>
      <c r="AI244" s="5" t="s">
        <v>2283</v>
      </c>
      <c r="AJ244" s="5" t="s">
        <v>2284</v>
      </c>
    </row>
    <row r="245" spans="1:36" x14ac:dyDescent="0.25">
      <c r="A245" s="5" t="s">
        <v>51</v>
      </c>
      <c r="B245" s="5" t="s">
        <v>426</v>
      </c>
      <c r="C245" s="5" t="s">
        <v>427</v>
      </c>
      <c r="D245" s="5" t="s">
        <v>2286</v>
      </c>
      <c r="E245" s="5">
        <v>35.769432999999999</v>
      </c>
      <c r="F245" s="5">
        <v>-98.453722999999997</v>
      </c>
      <c r="M245" s="5">
        <v>2.4</v>
      </c>
      <c r="P245" s="5">
        <v>2010</v>
      </c>
      <c r="Q245" s="5">
        <v>2010</v>
      </c>
      <c r="W245" s="5" t="s">
        <v>44</v>
      </c>
      <c r="AI245" s="5" t="s">
        <v>2283</v>
      </c>
      <c r="AJ245" s="5" t="s">
        <v>2284</v>
      </c>
    </row>
    <row r="246" spans="1:36" x14ac:dyDescent="0.25">
      <c r="A246" s="5" t="s">
        <v>51</v>
      </c>
      <c r="B246" s="5" t="s">
        <v>426</v>
      </c>
      <c r="C246" s="5" t="s">
        <v>427</v>
      </c>
      <c r="D246" s="5" t="s">
        <v>2292</v>
      </c>
      <c r="E246" s="5">
        <v>35.073754000000001</v>
      </c>
      <c r="F246" s="5">
        <v>-97.839183000000006</v>
      </c>
      <c r="M246" s="5">
        <v>2.4</v>
      </c>
      <c r="P246" s="5">
        <v>2013</v>
      </c>
      <c r="Q246" s="5">
        <v>2013</v>
      </c>
      <c r="W246" s="5" t="s">
        <v>44</v>
      </c>
      <c r="AI246" s="5" t="s">
        <v>2283</v>
      </c>
      <c r="AJ246" s="5" t="s">
        <v>2284</v>
      </c>
    </row>
    <row r="247" spans="1:36" x14ac:dyDescent="0.25">
      <c r="A247" s="5" t="s">
        <v>51</v>
      </c>
      <c r="B247" s="5" t="s">
        <v>426</v>
      </c>
      <c r="C247" s="5" t="s">
        <v>427</v>
      </c>
      <c r="D247" s="5" t="s">
        <v>2300</v>
      </c>
      <c r="E247" s="5">
        <v>34.520735000000002</v>
      </c>
      <c r="F247" s="5">
        <v>-97.757409999999993</v>
      </c>
      <c r="M247" s="5">
        <v>2.4</v>
      </c>
      <c r="P247" s="5">
        <v>2015</v>
      </c>
      <c r="Q247" s="5">
        <v>2015</v>
      </c>
      <c r="W247" s="5" t="s">
        <v>44</v>
      </c>
      <c r="AI247" s="5" t="s">
        <v>2283</v>
      </c>
      <c r="AJ247" s="5" t="s">
        <v>2284</v>
      </c>
    </row>
    <row r="248" spans="1:36" x14ac:dyDescent="0.25">
      <c r="A248" s="5" t="s">
        <v>51</v>
      </c>
      <c r="B248" s="5" t="s">
        <v>426</v>
      </c>
      <c r="C248" s="5" t="s">
        <v>427</v>
      </c>
      <c r="D248" s="5" t="s">
        <v>2294</v>
      </c>
      <c r="E248" s="5">
        <v>34.811743999999997</v>
      </c>
      <c r="F248" s="5">
        <v>-96.106560000000002</v>
      </c>
      <c r="M248" s="5">
        <v>2.4</v>
      </c>
      <c r="P248" s="5">
        <v>2015</v>
      </c>
      <c r="Q248" s="5">
        <v>2015</v>
      </c>
      <c r="W248" s="5" t="s">
        <v>44</v>
      </c>
      <c r="AI248" s="5" t="s">
        <v>2283</v>
      </c>
      <c r="AJ248" s="5" t="s">
        <v>2284</v>
      </c>
    </row>
    <row r="249" spans="1:36" x14ac:dyDescent="0.25">
      <c r="A249" s="5" t="s">
        <v>51</v>
      </c>
      <c r="B249" s="5" t="s">
        <v>426</v>
      </c>
      <c r="C249" s="5" t="s">
        <v>427</v>
      </c>
      <c r="D249" s="5" t="s">
        <v>2315</v>
      </c>
      <c r="E249" s="5">
        <v>40.053925</v>
      </c>
      <c r="F249" s="5">
        <v>-81.264846000000006</v>
      </c>
      <c r="G249" s="6"/>
      <c r="H249" s="6"/>
      <c r="I249" s="6" t="s">
        <v>2316</v>
      </c>
      <c r="J249" s="6"/>
      <c r="L249" s="5">
        <v>61</v>
      </c>
      <c r="M249" s="5">
        <v>2.2999999999999998</v>
      </c>
      <c r="P249" s="5" t="s">
        <v>2316</v>
      </c>
      <c r="Q249" s="5">
        <v>2016</v>
      </c>
      <c r="R249" s="6"/>
      <c r="T249" s="5" t="s">
        <v>433</v>
      </c>
      <c r="W249" s="5" t="s">
        <v>44</v>
      </c>
      <c r="AJ249" s="5" t="s">
        <v>2281</v>
      </c>
    </row>
    <row r="250" spans="1:36" x14ac:dyDescent="0.25">
      <c r="A250" s="5" t="s">
        <v>61</v>
      </c>
      <c r="B250" s="5" t="s">
        <v>426</v>
      </c>
      <c r="C250" s="5" t="s">
        <v>427</v>
      </c>
      <c r="D250" s="5" t="s">
        <v>469</v>
      </c>
      <c r="E250" s="5">
        <v>53.822283333333303</v>
      </c>
      <c r="F250" s="5">
        <v>-2.9505833333333298</v>
      </c>
      <c r="G250" s="6">
        <v>40628</v>
      </c>
      <c r="H250" s="6">
        <v>40694</v>
      </c>
      <c r="I250" s="6">
        <v>40633</v>
      </c>
      <c r="J250" s="6">
        <v>40757</v>
      </c>
      <c r="L250" s="5">
        <v>52</v>
      </c>
      <c r="M250" s="5">
        <v>2.2999999999999998</v>
      </c>
      <c r="N250" s="5" t="s">
        <v>65</v>
      </c>
      <c r="O250" s="5">
        <v>3600</v>
      </c>
      <c r="P250" s="7">
        <v>40634</v>
      </c>
      <c r="Q250" s="5">
        <v>2011</v>
      </c>
      <c r="R250" s="6"/>
      <c r="S250" s="5" t="s">
        <v>470</v>
      </c>
      <c r="T250" s="5" t="s">
        <v>433</v>
      </c>
      <c r="U250" s="5" t="s">
        <v>471</v>
      </c>
      <c r="V250" s="5" t="s">
        <v>472</v>
      </c>
      <c r="W250" s="5" t="s">
        <v>44</v>
      </c>
      <c r="AA250" s="10">
        <v>200</v>
      </c>
      <c r="AB250" s="5" t="s">
        <v>118</v>
      </c>
      <c r="AC250" s="5">
        <v>8399</v>
      </c>
      <c r="AD250" s="5" t="s">
        <v>92</v>
      </c>
      <c r="AE250" s="5">
        <v>53</v>
      </c>
      <c r="AI250" s="5" t="s">
        <v>473</v>
      </c>
      <c r="AJ250" s="5" t="s">
        <v>474</v>
      </c>
    </row>
    <row r="251" spans="1:36" x14ac:dyDescent="0.25">
      <c r="A251" s="5" t="s">
        <v>51</v>
      </c>
      <c r="B251" s="5" t="s">
        <v>426</v>
      </c>
      <c r="C251" s="5" t="s">
        <v>427</v>
      </c>
      <c r="D251" s="5" t="s">
        <v>2295</v>
      </c>
      <c r="E251" s="5">
        <v>34.937831000000003</v>
      </c>
      <c r="F251" s="5">
        <v>-97.590237000000002</v>
      </c>
      <c r="M251" s="5">
        <v>2.2999999999999998</v>
      </c>
      <c r="P251" s="5">
        <v>2013</v>
      </c>
      <c r="Q251" s="5">
        <v>2013</v>
      </c>
      <c r="W251" s="5" t="s">
        <v>44</v>
      </c>
      <c r="AI251" s="5" t="s">
        <v>2283</v>
      </c>
      <c r="AJ251" s="5" t="s">
        <v>2284</v>
      </c>
    </row>
    <row r="252" spans="1:36" ht="15" customHeight="1" x14ac:dyDescent="0.25">
      <c r="A252" s="5" t="s">
        <v>51</v>
      </c>
      <c r="B252" s="5" t="s">
        <v>426</v>
      </c>
      <c r="C252" s="5" t="s">
        <v>427</v>
      </c>
      <c r="D252" s="5" t="s">
        <v>2297</v>
      </c>
      <c r="E252" s="5">
        <v>35.813409</v>
      </c>
      <c r="F252" s="5">
        <v>-98.025492999999997</v>
      </c>
      <c r="M252" s="5">
        <v>2.2999999999999998</v>
      </c>
      <c r="P252" s="5">
        <v>2015</v>
      </c>
      <c r="Q252" s="5">
        <v>2015</v>
      </c>
      <c r="W252" s="5" t="s">
        <v>44</v>
      </c>
      <c r="AI252" s="5" t="s">
        <v>2283</v>
      </c>
      <c r="AJ252" s="5" t="s">
        <v>2284</v>
      </c>
    </row>
    <row r="253" spans="1:36" x14ac:dyDescent="0.25">
      <c r="A253" s="5" t="s">
        <v>51</v>
      </c>
      <c r="B253" s="5" t="s">
        <v>426</v>
      </c>
      <c r="C253" s="5" t="s">
        <v>427</v>
      </c>
      <c r="D253" s="5" t="s">
        <v>2306</v>
      </c>
      <c r="E253" s="5">
        <v>34.811208999999998</v>
      </c>
      <c r="F253" s="5">
        <v>-97.753118000000001</v>
      </c>
      <c r="M253" s="5">
        <v>2.2999999999999998</v>
      </c>
      <c r="P253" s="5">
        <v>2015</v>
      </c>
      <c r="Q253" s="5">
        <v>2015</v>
      </c>
      <c r="W253" s="5" t="s">
        <v>44</v>
      </c>
      <c r="AI253" s="5" t="s">
        <v>2283</v>
      </c>
      <c r="AJ253" s="5" t="s">
        <v>2284</v>
      </c>
    </row>
    <row r="254" spans="1:36" x14ac:dyDescent="0.25">
      <c r="A254" s="5" t="s">
        <v>51</v>
      </c>
      <c r="B254" s="5" t="s">
        <v>426</v>
      </c>
      <c r="C254" s="5" t="s">
        <v>427</v>
      </c>
      <c r="D254" s="5" t="s">
        <v>2306</v>
      </c>
      <c r="E254" s="5">
        <v>34.895735000000002</v>
      </c>
      <c r="F254" s="5">
        <v>-97.691012999999998</v>
      </c>
      <c r="M254" s="5">
        <v>2.2999999999999998</v>
      </c>
      <c r="P254" s="5">
        <v>2016</v>
      </c>
      <c r="Q254" s="5">
        <v>2016</v>
      </c>
      <c r="W254" s="5" t="s">
        <v>44</v>
      </c>
      <c r="AI254" s="5" t="s">
        <v>2283</v>
      </c>
      <c r="AJ254" s="5" t="s">
        <v>2284</v>
      </c>
    </row>
    <row r="255" spans="1:36" x14ac:dyDescent="0.25">
      <c r="A255" s="5" t="s">
        <v>51</v>
      </c>
      <c r="B255" s="5" t="s">
        <v>426</v>
      </c>
      <c r="C255" s="5" t="s">
        <v>427</v>
      </c>
      <c r="D255" s="5" t="s">
        <v>2307</v>
      </c>
      <c r="E255" s="5">
        <v>34.252063</v>
      </c>
      <c r="F255" s="5">
        <v>-97.465074999999999</v>
      </c>
      <c r="M255" s="5">
        <v>2.2999999999999998</v>
      </c>
      <c r="P255" s="5">
        <v>2016</v>
      </c>
      <c r="Q255" s="5">
        <v>2016</v>
      </c>
      <c r="W255" s="5" t="s">
        <v>44</v>
      </c>
      <c r="AI255" s="5" t="s">
        <v>2283</v>
      </c>
      <c r="AJ255" s="5" t="s">
        <v>2284</v>
      </c>
    </row>
    <row r="256" spans="1:36" x14ac:dyDescent="0.25">
      <c r="A256" s="5" t="s">
        <v>123</v>
      </c>
      <c r="B256" s="5" t="s">
        <v>426</v>
      </c>
      <c r="C256" s="5" t="s">
        <v>427</v>
      </c>
      <c r="D256" s="5" t="s">
        <v>475</v>
      </c>
      <c r="E256" s="5">
        <v>56.236477999999998</v>
      </c>
      <c r="F256" s="5">
        <v>-122.06202399999999</v>
      </c>
      <c r="G256" s="6">
        <v>41583</v>
      </c>
      <c r="H256" s="6"/>
      <c r="I256" s="6">
        <v>41583</v>
      </c>
      <c r="J256" s="6">
        <v>41584</v>
      </c>
      <c r="L256" s="5">
        <v>14</v>
      </c>
      <c r="M256" s="5">
        <v>2.2000000000000002</v>
      </c>
      <c r="N256" s="5" t="s">
        <v>65</v>
      </c>
      <c r="P256" s="7">
        <v>41583</v>
      </c>
      <c r="Q256" s="5">
        <v>2013</v>
      </c>
      <c r="R256" s="6"/>
      <c r="S256" s="5">
        <v>1000</v>
      </c>
      <c r="T256" s="5" t="s">
        <v>433</v>
      </c>
      <c r="W256" s="5" t="s">
        <v>44</v>
      </c>
      <c r="AA256" s="10" t="s">
        <v>476</v>
      </c>
      <c r="AB256" s="5" t="s">
        <v>118</v>
      </c>
      <c r="AE256" s="5">
        <v>57</v>
      </c>
      <c r="AJ256" s="5" t="s">
        <v>435</v>
      </c>
    </row>
    <row r="257" spans="1:36" x14ac:dyDescent="0.25">
      <c r="A257" s="5" t="s">
        <v>51</v>
      </c>
      <c r="B257" s="5" t="s">
        <v>426</v>
      </c>
      <c r="C257" s="5" t="s">
        <v>427</v>
      </c>
      <c r="D257" s="5" t="s">
        <v>2317</v>
      </c>
      <c r="E257" s="5">
        <v>40.215713000000001</v>
      </c>
      <c r="F257" s="5">
        <v>-81.200344999999999</v>
      </c>
      <c r="G257" s="6">
        <v>41524</v>
      </c>
      <c r="H257" s="6">
        <v>41553</v>
      </c>
      <c r="I257" s="6">
        <v>41525</v>
      </c>
      <c r="J257" s="6">
        <v>41621</v>
      </c>
      <c r="L257" s="5">
        <v>7242</v>
      </c>
      <c r="M257" s="5">
        <v>2.2000000000000002</v>
      </c>
      <c r="N257" s="5" t="s">
        <v>40</v>
      </c>
      <c r="P257" s="7" t="s">
        <v>364</v>
      </c>
      <c r="Q257" s="5">
        <v>2013</v>
      </c>
      <c r="R257" s="6"/>
      <c r="S257" s="5">
        <v>1300</v>
      </c>
      <c r="T257" s="5" t="s">
        <v>433</v>
      </c>
      <c r="U257" s="5" t="s">
        <v>477</v>
      </c>
      <c r="V257" s="5">
        <v>2422</v>
      </c>
      <c r="W257" s="5" t="s">
        <v>44</v>
      </c>
      <c r="AA257" s="5">
        <f>((4000/6.29)*1000)/(60*60)</f>
        <v>176.64723547076488</v>
      </c>
      <c r="AB257" s="5" t="s">
        <v>118</v>
      </c>
      <c r="AC257" s="5">
        <f>24500+39500+30175</f>
        <v>94175</v>
      </c>
      <c r="AD257" s="5" t="s">
        <v>92</v>
      </c>
      <c r="AE257" s="5">
        <v>89</v>
      </c>
      <c r="AI257" s="5" t="s">
        <v>478</v>
      </c>
      <c r="AJ257" s="5" t="s">
        <v>2318</v>
      </c>
    </row>
    <row r="258" spans="1:36" x14ac:dyDescent="0.25">
      <c r="A258" s="5" t="s">
        <v>51</v>
      </c>
      <c r="B258" s="5" t="s">
        <v>426</v>
      </c>
      <c r="C258" s="5" t="s">
        <v>427</v>
      </c>
      <c r="D258" s="5" t="s">
        <v>2282</v>
      </c>
      <c r="E258" s="5">
        <v>34.012490999999997</v>
      </c>
      <c r="F258" s="5">
        <v>-97.281175000000005</v>
      </c>
      <c r="M258" s="5">
        <v>2.2000000000000002</v>
      </c>
      <c r="P258" s="5">
        <v>2014</v>
      </c>
      <c r="Q258" s="5">
        <v>2014</v>
      </c>
      <c r="W258" s="5" t="s">
        <v>44</v>
      </c>
      <c r="AI258" s="5" t="s">
        <v>2283</v>
      </c>
      <c r="AJ258" s="5" t="s">
        <v>2284</v>
      </c>
    </row>
    <row r="259" spans="1:36" x14ac:dyDescent="0.25">
      <c r="A259" s="5" t="s">
        <v>51</v>
      </c>
      <c r="B259" s="5" t="s">
        <v>426</v>
      </c>
      <c r="C259" s="5" t="s">
        <v>427</v>
      </c>
      <c r="D259" s="5" t="s">
        <v>2282</v>
      </c>
      <c r="E259" s="5">
        <v>33.997264999999999</v>
      </c>
      <c r="F259" s="5">
        <v>-97.285677000000007</v>
      </c>
      <c r="M259" s="5">
        <v>2.2000000000000002</v>
      </c>
      <c r="P259" s="5">
        <v>2014</v>
      </c>
      <c r="Q259" s="5">
        <v>2014</v>
      </c>
      <c r="W259" s="5" t="s">
        <v>44</v>
      </c>
      <c r="AI259" s="5" t="s">
        <v>2283</v>
      </c>
      <c r="AJ259" s="5" t="s">
        <v>2284</v>
      </c>
    </row>
    <row r="260" spans="1:36" x14ac:dyDescent="0.25">
      <c r="A260" s="5" t="s">
        <v>51</v>
      </c>
      <c r="B260" s="5" t="s">
        <v>426</v>
      </c>
      <c r="C260" s="5" t="s">
        <v>427</v>
      </c>
      <c r="D260" s="5" t="s">
        <v>2295</v>
      </c>
      <c r="E260" s="5">
        <v>35.014422000000003</v>
      </c>
      <c r="F260" s="5">
        <v>-97.521602000000001</v>
      </c>
      <c r="M260" s="5">
        <v>2.2000000000000002</v>
      </c>
      <c r="P260" s="5">
        <v>2013</v>
      </c>
      <c r="Q260" s="5">
        <v>2013</v>
      </c>
      <c r="W260" s="5" t="s">
        <v>44</v>
      </c>
      <c r="AI260" s="5" t="s">
        <v>2283</v>
      </c>
      <c r="AJ260" s="5" t="s">
        <v>2284</v>
      </c>
    </row>
    <row r="261" spans="1:36" x14ac:dyDescent="0.25">
      <c r="A261" s="5" t="s">
        <v>51</v>
      </c>
      <c r="B261" s="5" t="s">
        <v>426</v>
      </c>
      <c r="C261" s="5" t="s">
        <v>427</v>
      </c>
      <c r="D261" s="5" t="s">
        <v>2288</v>
      </c>
      <c r="E261" s="5">
        <v>36.216991999999998</v>
      </c>
      <c r="F261" s="5">
        <v>-98.824997999999994</v>
      </c>
      <c r="M261" s="5">
        <v>2.2000000000000002</v>
      </c>
      <c r="P261" s="5">
        <v>2015</v>
      </c>
      <c r="Q261" s="5">
        <v>2015</v>
      </c>
      <c r="W261" s="5" t="s">
        <v>44</v>
      </c>
      <c r="AI261" s="5" t="s">
        <v>2283</v>
      </c>
      <c r="AJ261" s="5" t="s">
        <v>2284</v>
      </c>
    </row>
    <row r="262" spans="1:36" x14ac:dyDescent="0.25">
      <c r="A262" s="5" t="s">
        <v>51</v>
      </c>
      <c r="B262" s="5" t="s">
        <v>426</v>
      </c>
      <c r="C262" s="5" t="s">
        <v>427</v>
      </c>
      <c r="D262" s="5" t="s">
        <v>2286</v>
      </c>
      <c r="E262" s="5">
        <v>35.754756999999998</v>
      </c>
      <c r="F262" s="5">
        <v>-98.432689999999994</v>
      </c>
      <c r="M262" s="5">
        <v>2.2000000000000002</v>
      </c>
      <c r="P262" s="5">
        <v>2011</v>
      </c>
      <c r="Q262" s="5">
        <v>2011</v>
      </c>
      <c r="W262" s="5" t="s">
        <v>44</v>
      </c>
      <c r="AI262" s="5" t="s">
        <v>2283</v>
      </c>
      <c r="AJ262" s="5" t="s">
        <v>2284</v>
      </c>
    </row>
    <row r="263" spans="1:36" x14ac:dyDescent="0.25">
      <c r="A263" s="5" t="s">
        <v>51</v>
      </c>
      <c r="B263" s="5" t="s">
        <v>426</v>
      </c>
      <c r="C263" s="5" t="s">
        <v>427</v>
      </c>
      <c r="D263" s="5" t="s">
        <v>2292</v>
      </c>
      <c r="E263" s="5">
        <v>35.015363999999998</v>
      </c>
      <c r="F263" s="5">
        <v>-97.830895999999996</v>
      </c>
      <c r="M263" s="5">
        <v>2.2000000000000002</v>
      </c>
      <c r="P263" s="5">
        <v>2016</v>
      </c>
      <c r="Q263" s="5">
        <v>2016</v>
      </c>
      <c r="W263" s="5" t="s">
        <v>44</v>
      </c>
      <c r="AI263" s="5" t="s">
        <v>2283</v>
      </c>
      <c r="AJ263" s="5" t="s">
        <v>2284</v>
      </c>
    </row>
    <row r="264" spans="1:36" x14ac:dyDescent="0.25">
      <c r="A264" s="5" t="s">
        <v>51</v>
      </c>
      <c r="B264" s="5" t="s">
        <v>426</v>
      </c>
      <c r="C264" s="5" t="s">
        <v>427</v>
      </c>
      <c r="D264" s="5" t="s">
        <v>2293</v>
      </c>
      <c r="E264" s="5">
        <v>36.188488999999997</v>
      </c>
      <c r="F264" s="5">
        <v>-99.113975999999994</v>
      </c>
      <c r="M264" s="5">
        <v>2.2000000000000002</v>
      </c>
      <c r="P264" s="5">
        <v>2016</v>
      </c>
      <c r="Q264" s="5">
        <v>2016</v>
      </c>
      <c r="W264" s="5" t="s">
        <v>44</v>
      </c>
      <c r="AI264" s="5" t="s">
        <v>2283</v>
      </c>
      <c r="AJ264" s="5" t="s">
        <v>2284</v>
      </c>
    </row>
    <row r="265" spans="1:36" x14ac:dyDescent="0.25">
      <c r="A265" s="5" t="s">
        <v>51</v>
      </c>
      <c r="B265" s="5" t="s">
        <v>426</v>
      </c>
      <c r="C265" s="5" t="s">
        <v>427</v>
      </c>
      <c r="D265" s="5" t="s">
        <v>2307</v>
      </c>
      <c r="E265" s="5">
        <v>34.247444999999999</v>
      </c>
      <c r="F265" s="5">
        <v>-97.402249999999995</v>
      </c>
      <c r="M265" s="5">
        <v>2.2000000000000002</v>
      </c>
      <c r="P265" s="5">
        <v>2011</v>
      </c>
      <c r="Q265" s="5">
        <v>2011</v>
      </c>
      <c r="W265" s="5" t="s">
        <v>44</v>
      </c>
      <c r="AI265" s="5" t="s">
        <v>2283</v>
      </c>
      <c r="AJ265" s="5" t="s">
        <v>2284</v>
      </c>
    </row>
    <row r="266" spans="1:36" x14ac:dyDescent="0.25">
      <c r="A266" s="5" t="s">
        <v>51</v>
      </c>
      <c r="B266" s="5" t="s">
        <v>426</v>
      </c>
      <c r="C266" s="5" t="s">
        <v>427</v>
      </c>
      <c r="D266" s="5" t="s">
        <v>2299</v>
      </c>
      <c r="E266" s="5">
        <v>34.183529999999998</v>
      </c>
      <c r="F266" s="5">
        <v>-96.721349000000004</v>
      </c>
      <c r="M266" s="5">
        <v>2.2000000000000002</v>
      </c>
      <c r="P266" s="5">
        <v>2011</v>
      </c>
      <c r="Q266" s="5">
        <v>2011</v>
      </c>
      <c r="W266" s="5" t="s">
        <v>44</v>
      </c>
      <c r="AI266" s="5" t="s">
        <v>2283</v>
      </c>
      <c r="AJ266" s="5" t="s">
        <v>2284</v>
      </c>
    </row>
    <row r="267" spans="1:36" x14ac:dyDescent="0.25">
      <c r="A267" s="5" t="s">
        <v>51</v>
      </c>
      <c r="B267" s="5" t="s">
        <v>426</v>
      </c>
      <c r="C267" s="5" t="s">
        <v>427</v>
      </c>
      <c r="D267" s="5" t="s">
        <v>2294</v>
      </c>
      <c r="E267" s="5">
        <v>34.710408000000001</v>
      </c>
      <c r="F267" s="5">
        <v>-95.964667000000006</v>
      </c>
      <c r="M267" s="5">
        <v>2.2000000000000002</v>
      </c>
      <c r="P267" s="5">
        <v>2010</v>
      </c>
      <c r="Q267" s="5">
        <v>2010</v>
      </c>
      <c r="W267" s="5" t="s">
        <v>44</v>
      </c>
      <c r="AI267" s="5" t="s">
        <v>2283</v>
      </c>
      <c r="AJ267" s="5" t="s">
        <v>2284</v>
      </c>
    </row>
    <row r="268" spans="1:36" x14ac:dyDescent="0.25">
      <c r="A268" s="5" t="s">
        <v>123</v>
      </c>
      <c r="B268" s="5" t="s">
        <v>426</v>
      </c>
      <c r="C268" s="5" t="s">
        <v>427</v>
      </c>
      <c r="D268" s="5" t="s">
        <v>2411</v>
      </c>
      <c r="E268" s="5">
        <v>52.301499999999997</v>
      </c>
      <c r="F268" s="5">
        <v>-113.9936</v>
      </c>
      <c r="G268" s="6"/>
      <c r="H268" s="6"/>
      <c r="I268" s="6"/>
      <c r="J268" s="6"/>
      <c r="L268" s="5">
        <v>3</v>
      </c>
      <c r="M268" s="5">
        <v>2.11</v>
      </c>
      <c r="N268" s="5" t="s">
        <v>65</v>
      </c>
      <c r="O268" s="5">
        <v>2500</v>
      </c>
      <c r="P268" s="7">
        <v>43013</v>
      </c>
      <c r="Q268" s="5">
        <v>2017</v>
      </c>
      <c r="R268" s="6"/>
      <c r="T268" s="5" t="s">
        <v>433</v>
      </c>
      <c r="W268" s="5" t="s">
        <v>44</v>
      </c>
      <c r="AA268" s="10"/>
      <c r="AI268" s="5" t="s">
        <v>2407</v>
      </c>
      <c r="AJ268" s="5" t="s">
        <v>2408</v>
      </c>
    </row>
    <row r="269" spans="1:36" x14ac:dyDescent="0.25">
      <c r="A269" s="5" t="s">
        <v>51</v>
      </c>
      <c r="B269" s="5" t="s">
        <v>426</v>
      </c>
      <c r="C269" s="5" t="s">
        <v>427</v>
      </c>
      <c r="D269" s="5" t="s">
        <v>2282</v>
      </c>
      <c r="E269" s="5">
        <v>33.966996999999999</v>
      </c>
      <c r="F269" s="5">
        <v>-97.379504999999995</v>
      </c>
      <c r="M269" s="5">
        <v>2.1</v>
      </c>
      <c r="P269" s="5">
        <v>2014</v>
      </c>
      <c r="Q269" s="5">
        <v>2014</v>
      </c>
      <c r="W269" s="5" t="s">
        <v>44</v>
      </c>
      <c r="AI269" s="5" t="s">
        <v>2283</v>
      </c>
      <c r="AJ269" s="5" t="s">
        <v>2284</v>
      </c>
    </row>
    <row r="270" spans="1:36" x14ac:dyDescent="0.25">
      <c r="A270" s="5" t="s">
        <v>51</v>
      </c>
      <c r="B270" s="5" t="s">
        <v>426</v>
      </c>
      <c r="C270" s="5" t="s">
        <v>427</v>
      </c>
      <c r="D270" s="5" t="s">
        <v>2282</v>
      </c>
      <c r="E270" s="5">
        <v>33.974381999999999</v>
      </c>
      <c r="F270" s="5">
        <v>-97.380297999999996</v>
      </c>
      <c r="M270" s="5">
        <v>2.1</v>
      </c>
      <c r="P270" s="5">
        <v>2014</v>
      </c>
      <c r="Q270" s="5">
        <v>2014</v>
      </c>
      <c r="W270" s="5" t="s">
        <v>44</v>
      </c>
      <c r="AI270" s="5" t="s">
        <v>2283</v>
      </c>
      <c r="AJ270" s="5" t="s">
        <v>2284</v>
      </c>
    </row>
    <row r="271" spans="1:36" x14ac:dyDescent="0.25">
      <c r="A271" s="5" t="s">
        <v>51</v>
      </c>
      <c r="B271" s="5" t="s">
        <v>426</v>
      </c>
      <c r="C271" s="5" t="s">
        <v>427</v>
      </c>
      <c r="D271" s="5" t="s">
        <v>2287</v>
      </c>
      <c r="E271" s="5">
        <v>36.657902999999997</v>
      </c>
      <c r="F271" s="5">
        <v>-97.315923999999995</v>
      </c>
      <c r="M271" s="5">
        <v>2.1</v>
      </c>
      <c r="P271" s="5">
        <v>2014</v>
      </c>
      <c r="Q271" s="5">
        <v>2014</v>
      </c>
      <c r="W271" s="5" t="s">
        <v>44</v>
      </c>
      <c r="AI271" s="5" t="s">
        <v>2283</v>
      </c>
      <c r="AJ271" s="5" t="s">
        <v>2284</v>
      </c>
    </row>
    <row r="272" spans="1:36" x14ac:dyDescent="0.25">
      <c r="A272" s="5" t="s">
        <v>51</v>
      </c>
      <c r="B272" s="5" t="s">
        <v>426</v>
      </c>
      <c r="C272" s="5" t="s">
        <v>427</v>
      </c>
      <c r="D272" s="5" t="s">
        <v>2297</v>
      </c>
      <c r="E272" s="5">
        <v>35.755602000000003</v>
      </c>
      <c r="F272" s="5">
        <v>-97.965974000000003</v>
      </c>
      <c r="M272" s="5">
        <v>2.1</v>
      </c>
      <c r="P272" s="5">
        <v>2015</v>
      </c>
      <c r="Q272" s="5">
        <v>2015</v>
      </c>
      <c r="W272" s="5" t="s">
        <v>44</v>
      </c>
      <c r="AI272" s="5" t="s">
        <v>2283</v>
      </c>
      <c r="AJ272" s="5" t="s">
        <v>2284</v>
      </c>
    </row>
    <row r="273" spans="1:36" x14ac:dyDescent="0.25">
      <c r="A273" s="5" t="s">
        <v>51</v>
      </c>
      <c r="B273" s="5" t="s">
        <v>426</v>
      </c>
      <c r="C273" s="5" t="s">
        <v>427</v>
      </c>
      <c r="D273" s="5" t="s">
        <v>2307</v>
      </c>
      <c r="E273" s="5">
        <v>34.245961000000001</v>
      </c>
      <c r="F273" s="5">
        <v>-97.485776000000001</v>
      </c>
      <c r="M273" s="5">
        <v>2.1</v>
      </c>
      <c r="P273" s="5">
        <v>2014</v>
      </c>
      <c r="Q273" s="5">
        <v>2014</v>
      </c>
      <c r="W273" s="5" t="s">
        <v>44</v>
      </c>
      <c r="AI273" s="5" t="s">
        <v>2283</v>
      </c>
      <c r="AJ273" s="5" t="s">
        <v>2284</v>
      </c>
    </row>
    <row r="274" spans="1:36" x14ac:dyDescent="0.25">
      <c r="A274" s="5" t="s">
        <v>51</v>
      </c>
      <c r="B274" s="5" t="s">
        <v>426</v>
      </c>
      <c r="C274" s="5" t="s">
        <v>427</v>
      </c>
      <c r="D274" s="5" t="s">
        <v>2314</v>
      </c>
      <c r="E274" s="5">
        <v>34.562289999999997</v>
      </c>
      <c r="F274" s="5">
        <v>-97.454387999999994</v>
      </c>
      <c r="M274" s="5">
        <v>2.1</v>
      </c>
      <c r="P274" s="5">
        <v>2012</v>
      </c>
      <c r="Q274" s="5">
        <v>2012</v>
      </c>
      <c r="W274" s="5" t="s">
        <v>44</v>
      </c>
      <c r="AI274" s="5" t="s">
        <v>2283</v>
      </c>
      <c r="AJ274" s="5" t="s">
        <v>2284</v>
      </c>
    </row>
    <row r="275" spans="1:36" x14ac:dyDescent="0.25">
      <c r="A275" s="5" t="s">
        <v>51</v>
      </c>
      <c r="B275" s="5" t="s">
        <v>426</v>
      </c>
      <c r="C275" s="5" t="s">
        <v>427</v>
      </c>
      <c r="D275" s="5" t="s">
        <v>2294</v>
      </c>
      <c r="E275" s="5">
        <v>34.754514999999998</v>
      </c>
      <c r="F275" s="5">
        <v>-96.122187999999994</v>
      </c>
      <c r="M275" s="5">
        <v>2.1</v>
      </c>
      <c r="P275" s="5">
        <v>2013</v>
      </c>
      <c r="Q275" s="5">
        <v>2013</v>
      </c>
      <c r="W275" s="5" t="s">
        <v>44</v>
      </c>
      <c r="AI275" s="5" t="s">
        <v>2283</v>
      </c>
      <c r="AJ275" s="5" t="s">
        <v>2284</v>
      </c>
    </row>
    <row r="276" spans="1:36" x14ac:dyDescent="0.25">
      <c r="A276" s="5" t="s">
        <v>123</v>
      </c>
      <c r="B276" s="5" t="s">
        <v>426</v>
      </c>
      <c r="C276" s="5" t="s">
        <v>427</v>
      </c>
      <c r="D276" s="5" t="s">
        <v>2412</v>
      </c>
      <c r="E276" s="5">
        <v>52.357500000000002</v>
      </c>
      <c r="F276" s="5">
        <v>-113.9367</v>
      </c>
      <c r="G276" s="6"/>
      <c r="H276" s="6"/>
      <c r="I276" s="6"/>
      <c r="J276" s="6"/>
      <c r="L276" s="5">
        <v>3</v>
      </c>
      <c r="M276" s="5">
        <v>2.02</v>
      </c>
      <c r="N276" s="5" t="s">
        <v>65</v>
      </c>
      <c r="O276" s="5">
        <v>2500</v>
      </c>
      <c r="P276" s="7">
        <v>42866</v>
      </c>
      <c r="Q276" s="5">
        <v>2017</v>
      </c>
      <c r="R276" s="6"/>
      <c r="T276" s="5" t="s">
        <v>433</v>
      </c>
      <c r="W276" s="5" t="s">
        <v>44</v>
      </c>
      <c r="AA276" s="10"/>
      <c r="AI276" s="5" t="s">
        <v>2407</v>
      </c>
      <c r="AJ276" s="5" t="s">
        <v>2408</v>
      </c>
    </row>
    <row r="277" spans="1:36" x14ac:dyDescent="0.25">
      <c r="A277" s="5" t="s">
        <v>51</v>
      </c>
      <c r="B277" s="5" t="s">
        <v>426</v>
      </c>
      <c r="C277" s="5" t="s">
        <v>427</v>
      </c>
      <c r="D277" s="5" t="s">
        <v>2282</v>
      </c>
      <c r="E277" s="5">
        <v>34.075479999999999</v>
      </c>
      <c r="F277" s="5">
        <v>-97.357169999999996</v>
      </c>
      <c r="M277" s="5">
        <v>2</v>
      </c>
      <c r="P277" s="5">
        <v>2013</v>
      </c>
      <c r="Q277" s="5">
        <v>2013</v>
      </c>
      <c r="W277" s="5" t="s">
        <v>44</v>
      </c>
      <c r="AI277" s="5" t="s">
        <v>2283</v>
      </c>
      <c r="AJ277" s="5" t="s">
        <v>2284</v>
      </c>
    </row>
    <row r="278" spans="1:36" x14ac:dyDescent="0.25">
      <c r="A278" s="5" t="s">
        <v>51</v>
      </c>
      <c r="B278" s="5" t="s">
        <v>426</v>
      </c>
      <c r="C278" s="5" t="s">
        <v>427</v>
      </c>
      <c r="D278" s="5" t="s">
        <v>2282</v>
      </c>
      <c r="E278" s="5">
        <v>34.057502999999997</v>
      </c>
      <c r="F278" s="5">
        <v>-97.356089999999995</v>
      </c>
      <c r="M278" s="5">
        <v>2</v>
      </c>
      <c r="P278" s="5">
        <v>2013</v>
      </c>
      <c r="Q278" s="5">
        <v>2013</v>
      </c>
      <c r="W278" s="5" t="s">
        <v>44</v>
      </c>
      <c r="AI278" s="5" t="s">
        <v>2283</v>
      </c>
      <c r="AJ278" s="5" t="s">
        <v>2284</v>
      </c>
    </row>
    <row r="279" spans="1:36" x14ac:dyDescent="0.25">
      <c r="A279" s="5" t="s">
        <v>51</v>
      </c>
      <c r="B279" s="5" t="s">
        <v>426</v>
      </c>
      <c r="C279" s="5" t="s">
        <v>427</v>
      </c>
      <c r="D279" s="5" t="s">
        <v>2282</v>
      </c>
      <c r="E279" s="5">
        <v>33.983137999999997</v>
      </c>
      <c r="F279" s="5">
        <v>-97.287172999999996</v>
      </c>
      <c r="M279" s="5">
        <v>2</v>
      </c>
      <c r="P279" s="5">
        <v>2014</v>
      </c>
      <c r="Q279" s="5">
        <v>2014</v>
      </c>
      <c r="W279" s="5" t="s">
        <v>44</v>
      </c>
      <c r="AI279" s="5" t="s">
        <v>2283</v>
      </c>
      <c r="AJ279" s="5" t="s">
        <v>2284</v>
      </c>
    </row>
    <row r="280" spans="1:36" x14ac:dyDescent="0.25">
      <c r="A280" s="5" t="s">
        <v>51</v>
      </c>
      <c r="B280" s="5" t="s">
        <v>426</v>
      </c>
      <c r="C280" s="5" t="s">
        <v>427</v>
      </c>
      <c r="D280" s="5" t="s">
        <v>2313</v>
      </c>
      <c r="E280" s="5">
        <v>34.402963999999997</v>
      </c>
      <c r="F280" s="5">
        <v>-97.630606</v>
      </c>
      <c r="M280" s="5">
        <v>2</v>
      </c>
      <c r="P280" s="5">
        <v>2014</v>
      </c>
      <c r="Q280" s="5">
        <v>2014</v>
      </c>
      <c r="W280" s="5" t="s">
        <v>44</v>
      </c>
      <c r="AI280" s="5" t="s">
        <v>2283</v>
      </c>
      <c r="AJ280" s="5" t="s">
        <v>2284</v>
      </c>
    </row>
    <row r="281" spans="1:36" x14ac:dyDescent="0.25">
      <c r="A281" s="5" t="s">
        <v>51</v>
      </c>
      <c r="B281" s="5" t="s">
        <v>426</v>
      </c>
      <c r="C281" s="5" t="s">
        <v>427</v>
      </c>
      <c r="D281" s="5" t="s">
        <v>2296</v>
      </c>
      <c r="E281" s="5">
        <v>36.202216</v>
      </c>
      <c r="F281" s="5">
        <v>-97.822049000000007</v>
      </c>
      <c r="M281" s="5">
        <v>2</v>
      </c>
      <c r="P281" s="5">
        <v>2014</v>
      </c>
      <c r="Q281" s="5">
        <v>2014</v>
      </c>
      <c r="W281" s="5" t="s">
        <v>44</v>
      </c>
      <c r="AI281" s="5" t="s">
        <v>2283</v>
      </c>
      <c r="AJ281" s="5" t="s">
        <v>2284</v>
      </c>
    </row>
    <row r="282" spans="1:36" x14ac:dyDescent="0.25">
      <c r="A282" s="5" t="s">
        <v>51</v>
      </c>
      <c r="B282" s="5" t="s">
        <v>426</v>
      </c>
      <c r="C282" s="5" t="s">
        <v>427</v>
      </c>
      <c r="D282" s="5" t="s">
        <v>2296</v>
      </c>
      <c r="E282" s="5">
        <v>36.202216</v>
      </c>
      <c r="F282" s="5">
        <v>-97.822049000000007</v>
      </c>
      <c r="M282" s="5">
        <v>2</v>
      </c>
      <c r="P282" s="5">
        <v>2014</v>
      </c>
      <c r="Q282" s="5">
        <v>2014</v>
      </c>
      <c r="W282" s="5" t="s">
        <v>44</v>
      </c>
      <c r="AI282" s="5" t="s">
        <v>2283</v>
      </c>
      <c r="AJ282" s="5" t="s">
        <v>2284</v>
      </c>
    </row>
    <row r="283" spans="1:36" x14ac:dyDescent="0.25">
      <c r="A283" s="5" t="s">
        <v>51</v>
      </c>
      <c r="B283" s="5" t="s">
        <v>426</v>
      </c>
      <c r="C283" s="5" t="s">
        <v>427</v>
      </c>
      <c r="D283" s="5" t="s">
        <v>2298</v>
      </c>
      <c r="E283" s="5">
        <v>35.566628000000001</v>
      </c>
      <c r="F283" s="5">
        <v>-98.068106</v>
      </c>
      <c r="M283" s="5">
        <v>2</v>
      </c>
      <c r="P283" s="5">
        <v>2016</v>
      </c>
      <c r="Q283" s="5">
        <v>2016</v>
      </c>
      <c r="W283" s="5" t="s">
        <v>44</v>
      </c>
      <c r="AI283" s="5" t="s">
        <v>2283</v>
      </c>
      <c r="AJ283" s="5" t="s">
        <v>2284</v>
      </c>
    </row>
    <row r="284" spans="1:36" x14ac:dyDescent="0.25">
      <c r="A284" s="5" t="s">
        <v>51</v>
      </c>
      <c r="B284" s="5" t="s">
        <v>426</v>
      </c>
      <c r="C284" s="5" t="s">
        <v>427</v>
      </c>
      <c r="D284" s="5" t="s">
        <v>2292</v>
      </c>
      <c r="E284" s="5">
        <v>35.118034999999999</v>
      </c>
      <c r="F284" s="5">
        <v>-97.792066000000005</v>
      </c>
      <c r="M284" s="5">
        <v>2</v>
      </c>
      <c r="P284" s="5">
        <v>2012</v>
      </c>
      <c r="Q284" s="5">
        <v>2012</v>
      </c>
      <c r="W284" s="5" t="s">
        <v>44</v>
      </c>
      <c r="AI284" s="5" t="s">
        <v>2283</v>
      </c>
      <c r="AJ284" s="5" t="s">
        <v>2284</v>
      </c>
    </row>
    <row r="285" spans="1:36" x14ac:dyDescent="0.25">
      <c r="A285" s="5" t="s">
        <v>51</v>
      </c>
      <c r="B285" s="5" t="s">
        <v>426</v>
      </c>
      <c r="C285" s="5" t="s">
        <v>427</v>
      </c>
      <c r="D285" s="5" t="s">
        <v>2306</v>
      </c>
      <c r="E285" s="5">
        <v>34.852839000000003</v>
      </c>
      <c r="F285" s="5">
        <v>-97.777676</v>
      </c>
      <c r="M285" s="5">
        <v>2</v>
      </c>
      <c r="P285" s="5">
        <v>2016</v>
      </c>
      <c r="Q285" s="5">
        <v>2016</v>
      </c>
      <c r="W285" s="5" t="s">
        <v>44</v>
      </c>
      <c r="AI285" s="5" t="s">
        <v>2283</v>
      </c>
      <c r="AJ285" s="5" t="s">
        <v>2284</v>
      </c>
    </row>
    <row r="286" spans="1:36" x14ac:dyDescent="0.25">
      <c r="A286" s="5" t="s">
        <v>51</v>
      </c>
      <c r="B286" s="5" t="s">
        <v>426</v>
      </c>
      <c r="C286" s="5" t="s">
        <v>427</v>
      </c>
      <c r="D286" s="5" t="s">
        <v>2307</v>
      </c>
      <c r="E286" s="5">
        <v>34.258222000000004</v>
      </c>
      <c r="F286" s="5">
        <v>-97.531298000000007</v>
      </c>
      <c r="M286" s="5">
        <v>2</v>
      </c>
      <c r="P286" s="5">
        <v>2013</v>
      </c>
      <c r="Q286" s="5">
        <v>2013</v>
      </c>
      <c r="W286" s="5" t="s">
        <v>44</v>
      </c>
      <c r="AI286" s="5" t="s">
        <v>2283</v>
      </c>
      <c r="AJ286" s="5" t="s">
        <v>2284</v>
      </c>
    </row>
    <row r="287" spans="1:36" x14ac:dyDescent="0.25">
      <c r="A287" s="5" t="s">
        <v>123</v>
      </c>
      <c r="B287" s="5" t="s">
        <v>426</v>
      </c>
      <c r="C287" s="5" t="s">
        <v>427</v>
      </c>
      <c r="D287" s="5" t="s">
        <v>2413</v>
      </c>
      <c r="E287" s="5">
        <v>52.218764</v>
      </c>
      <c r="F287" s="5">
        <v>-114.020622</v>
      </c>
      <c r="G287" s="6"/>
      <c r="H287" s="6"/>
      <c r="I287" s="6"/>
      <c r="J287" s="6"/>
      <c r="L287" s="5">
        <v>159</v>
      </c>
      <c r="M287" s="5">
        <v>1.98</v>
      </c>
      <c r="N287" s="5" t="s">
        <v>65</v>
      </c>
      <c r="O287" s="5">
        <v>2470</v>
      </c>
      <c r="P287" s="7">
        <v>43502</v>
      </c>
      <c r="Q287" s="5">
        <v>2019</v>
      </c>
      <c r="R287" s="6"/>
      <c r="S287" s="5" t="s">
        <v>574</v>
      </c>
      <c r="T287" s="5" t="s">
        <v>433</v>
      </c>
      <c r="W287" s="5" t="s">
        <v>44</v>
      </c>
      <c r="AA287" s="10"/>
      <c r="AI287" s="5" t="s">
        <v>2407</v>
      </c>
      <c r="AJ287" s="5" t="s">
        <v>2408</v>
      </c>
    </row>
    <row r="288" spans="1:36" x14ac:dyDescent="0.25">
      <c r="A288" s="5" t="s">
        <v>51</v>
      </c>
      <c r="B288" s="5" t="s">
        <v>426</v>
      </c>
      <c r="C288" s="5" t="s">
        <v>479</v>
      </c>
      <c r="D288" s="5" t="s">
        <v>480</v>
      </c>
      <c r="E288" s="5">
        <v>32.360999999999997</v>
      </c>
      <c r="F288" s="5">
        <v>-93.268000000000001</v>
      </c>
      <c r="G288" s="6" t="s">
        <v>481</v>
      </c>
      <c r="H288" s="6" t="s">
        <v>482</v>
      </c>
      <c r="L288" s="5">
        <v>18</v>
      </c>
      <c r="M288" s="5">
        <v>1.9</v>
      </c>
      <c r="N288" s="5" t="s">
        <v>65</v>
      </c>
      <c r="O288" s="5">
        <v>1300</v>
      </c>
      <c r="P288" s="7">
        <v>40831</v>
      </c>
      <c r="Q288" s="5">
        <v>2011</v>
      </c>
      <c r="V288" s="5" t="s">
        <v>483</v>
      </c>
      <c r="W288" s="5" t="s">
        <v>44</v>
      </c>
      <c r="AI288" s="5" t="s">
        <v>484</v>
      </c>
      <c r="AJ288" s="5" t="s">
        <v>485</v>
      </c>
    </row>
    <row r="289" spans="1:36" x14ac:dyDescent="0.25">
      <c r="A289" s="5" t="s">
        <v>51</v>
      </c>
      <c r="B289" s="5" t="s">
        <v>426</v>
      </c>
      <c r="C289" s="5" t="s">
        <v>427</v>
      </c>
      <c r="D289" s="5" t="s">
        <v>2319</v>
      </c>
      <c r="E289" s="5">
        <v>40.991087999999998</v>
      </c>
      <c r="F289" s="5">
        <v>-80.432348000000005</v>
      </c>
      <c r="G289" s="6">
        <v>42485</v>
      </c>
      <c r="H289" s="6"/>
      <c r="I289" s="6" t="s">
        <v>2320</v>
      </c>
      <c r="J289" s="6"/>
      <c r="L289" s="5">
        <v>5</v>
      </c>
      <c r="M289" s="5">
        <v>1.9</v>
      </c>
      <c r="N289" s="5" t="s">
        <v>65</v>
      </c>
      <c r="P289" s="7">
        <v>42485</v>
      </c>
      <c r="Q289" s="5">
        <v>2016</v>
      </c>
      <c r="R289" s="6"/>
      <c r="T289" s="5" t="s">
        <v>433</v>
      </c>
      <c r="W289" s="5" t="s">
        <v>44</v>
      </c>
      <c r="AJ289" t="s">
        <v>2321</v>
      </c>
    </row>
    <row r="290" spans="1:36" x14ac:dyDescent="0.25">
      <c r="A290" s="5" t="s">
        <v>51</v>
      </c>
      <c r="B290" s="5" t="s">
        <v>426</v>
      </c>
      <c r="C290" s="5" t="s">
        <v>427</v>
      </c>
      <c r="D290" s="5" t="s">
        <v>2292</v>
      </c>
      <c r="E290" s="5">
        <v>35.000396000000002</v>
      </c>
      <c r="F290" s="5">
        <v>-97.882750000000001</v>
      </c>
      <c r="M290" s="5">
        <v>1.9</v>
      </c>
      <c r="P290" s="5">
        <v>2015</v>
      </c>
      <c r="Q290" s="5">
        <v>2015</v>
      </c>
      <c r="W290" s="5" t="s">
        <v>44</v>
      </c>
      <c r="AI290" s="5" t="s">
        <v>2283</v>
      </c>
      <c r="AJ290" s="5" t="s">
        <v>2284</v>
      </c>
    </row>
    <row r="291" spans="1:36" x14ac:dyDescent="0.25">
      <c r="A291" s="5" t="s">
        <v>51</v>
      </c>
      <c r="B291" s="5" t="s">
        <v>426</v>
      </c>
      <c r="C291" s="5" t="s">
        <v>427</v>
      </c>
      <c r="D291" s="5" t="s">
        <v>2322</v>
      </c>
      <c r="E291" s="5">
        <v>40.201700000000002</v>
      </c>
      <c r="F291" s="5">
        <v>-81.179078000000004</v>
      </c>
      <c r="I291" s="6">
        <v>41908</v>
      </c>
      <c r="J291" s="6">
        <v>41928</v>
      </c>
      <c r="L291" s="5">
        <v>1539</v>
      </c>
      <c r="M291" s="5">
        <v>1.8</v>
      </c>
      <c r="N291" s="5" t="s">
        <v>65</v>
      </c>
      <c r="P291" s="5">
        <v>2014</v>
      </c>
      <c r="Q291" s="5">
        <v>2014</v>
      </c>
      <c r="R291" s="6"/>
      <c r="T291" s="5" t="s">
        <v>433</v>
      </c>
      <c r="U291" s="5" t="s">
        <v>2323</v>
      </c>
      <c r="V291" s="5">
        <v>2400</v>
      </c>
      <c r="W291" s="5" t="s">
        <v>44</v>
      </c>
      <c r="AE291" s="5">
        <v>72.900000000000006</v>
      </c>
      <c r="AJ291" s="5" t="s">
        <v>2312</v>
      </c>
    </row>
    <row r="292" spans="1:36" x14ac:dyDescent="0.25">
      <c r="A292" s="5" t="s">
        <v>51</v>
      </c>
      <c r="B292" s="5" t="s">
        <v>426</v>
      </c>
      <c r="C292" s="5" t="s">
        <v>427</v>
      </c>
      <c r="D292" s="5" t="s">
        <v>2307</v>
      </c>
      <c r="E292" s="5">
        <v>34.360908999999999</v>
      </c>
      <c r="F292" s="5">
        <v>-97.564753999999994</v>
      </c>
      <c r="M292" s="5">
        <v>1.8</v>
      </c>
      <c r="P292" s="5">
        <v>2013</v>
      </c>
      <c r="Q292" s="5">
        <v>2013</v>
      </c>
      <c r="W292" s="5" t="s">
        <v>44</v>
      </c>
      <c r="AI292" s="5" t="s">
        <v>2283</v>
      </c>
      <c r="AJ292" s="5" t="s">
        <v>2284</v>
      </c>
    </row>
    <row r="293" spans="1:36" x14ac:dyDescent="0.25">
      <c r="A293" s="5" t="s">
        <v>123</v>
      </c>
      <c r="B293" s="5" t="s">
        <v>426</v>
      </c>
      <c r="C293" s="5" t="s">
        <v>427</v>
      </c>
      <c r="D293" s="5" t="s">
        <v>2641</v>
      </c>
      <c r="E293" s="5">
        <v>57.256610000000002</v>
      </c>
      <c r="F293" s="5">
        <v>-122.800708</v>
      </c>
      <c r="M293" s="5">
        <v>1.8</v>
      </c>
      <c r="P293" s="5">
        <v>2015</v>
      </c>
      <c r="Q293" s="5">
        <v>2015</v>
      </c>
      <c r="T293" s="5" t="s">
        <v>433</v>
      </c>
      <c r="U293" s="10" t="s">
        <v>2642</v>
      </c>
      <c r="V293" s="5" t="s">
        <v>2643</v>
      </c>
      <c r="W293" s="5" t="s">
        <v>44</v>
      </c>
      <c r="AI293" s="5" t="s">
        <v>2644</v>
      </c>
      <c r="AJ293" s="5" t="s">
        <v>2645</v>
      </c>
    </row>
    <row r="294" spans="1:36" x14ac:dyDescent="0.25">
      <c r="A294" s="5" t="s">
        <v>51</v>
      </c>
      <c r="B294" s="5" t="s">
        <v>426</v>
      </c>
      <c r="C294" s="5" t="s">
        <v>427</v>
      </c>
      <c r="D294" s="5" t="s">
        <v>2292</v>
      </c>
      <c r="E294" s="5">
        <v>35.088391999999999</v>
      </c>
      <c r="F294" s="5">
        <v>-97.786502999999996</v>
      </c>
      <c r="M294" s="5">
        <v>1.7</v>
      </c>
      <c r="P294" s="5">
        <v>2012</v>
      </c>
      <c r="Q294" s="5">
        <v>2012</v>
      </c>
      <c r="W294" s="5" t="s">
        <v>44</v>
      </c>
      <c r="AI294" s="5" t="s">
        <v>2283</v>
      </c>
      <c r="AJ294" s="5" t="s">
        <v>2284</v>
      </c>
    </row>
    <row r="295" spans="1:36" x14ac:dyDescent="0.25">
      <c r="A295" s="5" t="s">
        <v>123</v>
      </c>
      <c r="B295" s="5" t="s">
        <v>426</v>
      </c>
      <c r="C295" s="5" t="s">
        <v>427</v>
      </c>
      <c r="D295" s="5" t="s">
        <v>2414</v>
      </c>
      <c r="E295" s="5">
        <v>52.217593000000001</v>
      </c>
      <c r="F295" s="5">
        <v>-114.056229</v>
      </c>
      <c r="G295" s="6"/>
      <c r="H295" s="6"/>
      <c r="I295" s="6"/>
      <c r="J295" s="6"/>
      <c r="L295" s="5">
        <v>297</v>
      </c>
      <c r="M295" s="5">
        <v>1.64</v>
      </c>
      <c r="N295" s="5" t="s">
        <v>65</v>
      </c>
      <c r="O295" s="5">
        <v>2561</v>
      </c>
      <c r="P295" s="7">
        <v>43407</v>
      </c>
      <c r="Q295" s="5">
        <v>2018</v>
      </c>
      <c r="R295" s="6"/>
      <c r="T295" s="5" t="s">
        <v>433</v>
      </c>
      <c r="W295" s="5" t="s">
        <v>44</v>
      </c>
      <c r="AA295" s="10"/>
      <c r="AI295" s="5" t="s">
        <v>2407</v>
      </c>
      <c r="AJ295" s="5" t="s">
        <v>2408</v>
      </c>
    </row>
    <row r="296" spans="1:36" x14ac:dyDescent="0.25">
      <c r="A296" s="5" t="s">
        <v>51</v>
      </c>
      <c r="B296" s="5" t="s">
        <v>426</v>
      </c>
      <c r="C296" s="5" t="s">
        <v>427</v>
      </c>
      <c r="D296" s="5" t="s">
        <v>2298</v>
      </c>
      <c r="E296" s="5">
        <v>35.508623999999998</v>
      </c>
      <c r="F296" s="5">
        <v>-98.069008999999994</v>
      </c>
      <c r="M296" s="5">
        <v>1.6</v>
      </c>
      <c r="P296" s="5">
        <v>2012</v>
      </c>
      <c r="Q296" s="5">
        <v>2012</v>
      </c>
      <c r="W296" s="5" t="s">
        <v>44</v>
      </c>
      <c r="AI296" s="5" t="s">
        <v>2283</v>
      </c>
      <c r="AJ296" s="5" t="s">
        <v>2284</v>
      </c>
    </row>
    <row r="297" spans="1:36" x14ac:dyDescent="0.25">
      <c r="A297" s="5" t="s">
        <v>51</v>
      </c>
      <c r="B297" s="5" t="s">
        <v>426</v>
      </c>
      <c r="C297" s="5" t="s">
        <v>427</v>
      </c>
      <c r="D297" s="5" t="s">
        <v>2292</v>
      </c>
      <c r="E297" s="5">
        <v>35.059089</v>
      </c>
      <c r="F297" s="5">
        <v>-97.817082999999997</v>
      </c>
      <c r="M297" s="5">
        <v>1.5</v>
      </c>
      <c r="P297" s="5">
        <v>2012</v>
      </c>
      <c r="Q297" s="5">
        <v>2012</v>
      </c>
      <c r="W297" s="5" t="s">
        <v>44</v>
      </c>
      <c r="AI297" s="5" t="s">
        <v>2283</v>
      </c>
      <c r="AJ297" s="5" t="s">
        <v>2284</v>
      </c>
    </row>
    <row r="298" spans="1:36" x14ac:dyDescent="0.25">
      <c r="A298" s="5" t="s">
        <v>51</v>
      </c>
      <c r="B298" s="5" t="s">
        <v>426</v>
      </c>
      <c r="C298" s="5" t="s">
        <v>427</v>
      </c>
      <c r="D298" s="5" t="s">
        <v>2292</v>
      </c>
      <c r="E298" s="5">
        <v>35.000464000000001</v>
      </c>
      <c r="F298" s="5">
        <v>-97.873211999999995</v>
      </c>
      <c r="M298" s="5">
        <v>1.5</v>
      </c>
      <c r="P298" s="5">
        <v>2016</v>
      </c>
      <c r="Q298" s="5">
        <v>2016</v>
      </c>
      <c r="W298" s="5" t="s">
        <v>44</v>
      </c>
      <c r="AI298" s="5" t="s">
        <v>2283</v>
      </c>
      <c r="AJ298" s="5" t="s">
        <v>2284</v>
      </c>
    </row>
    <row r="299" spans="1:36" x14ac:dyDescent="0.25">
      <c r="A299" s="5" t="s">
        <v>51</v>
      </c>
      <c r="B299" s="5" t="s">
        <v>426</v>
      </c>
      <c r="C299" s="5" t="s">
        <v>427</v>
      </c>
      <c r="D299" s="5" t="s">
        <v>2324</v>
      </c>
      <c r="E299" s="5">
        <v>40.210247000000003</v>
      </c>
      <c r="F299" s="5">
        <v>-81.208832000000001</v>
      </c>
      <c r="G299" s="6"/>
      <c r="H299" s="6"/>
      <c r="I299" s="6">
        <v>41993</v>
      </c>
      <c r="J299" s="6">
        <v>42011</v>
      </c>
      <c r="L299" s="5">
        <v>527</v>
      </c>
      <c r="M299" s="5">
        <v>1.1000000000000001</v>
      </c>
      <c r="N299" s="5" t="s">
        <v>65</v>
      </c>
      <c r="P299" s="5">
        <v>2014</v>
      </c>
      <c r="Q299" s="5">
        <v>2014</v>
      </c>
      <c r="R299" s="6"/>
      <c r="T299" s="5" t="s">
        <v>433</v>
      </c>
      <c r="U299" s="5" t="s">
        <v>2325</v>
      </c>
      <c r="V299" s="5">
        <v>2400</v>
      </c>
      <c r="W299" s="5" t="s">
        <v>44</v>
      </c>
      <c r="AE299" s="5">
        <v>78.3</v>
      </c>
      <c r="AJ299" s="5" t="s">
        <v>2312</v>
      </c>
    </row>
    <row r="300" spans="1:36" x14ac:dyDescent="0.25">
      <c r="A300" s="5" t="s">
        <v>842</v>
      </c>
      <c r="B300" s="5" t="s">
        <v>426</v>
      </c>
      <c r="C300" s="5" t="s">
        <v>427</v>
      </c>
      <c r="D300" s="5" t="s">
        <v>2013</v>
      </c>
      <c r="E300" s="5">
        <v>54.093609000000001</v>
      </c>
      <c r="F300" s="5">
        <v>18.305637999999998</v>
      </c>
      <c r="G300" s="6">
        <v>42571</v>
      </c>
      <c r="H300" s="6">
        <v>42580</v>
      </c>
      <c r="L300" s="5">
        <v>77</v>
      </c>
      <c r="M300" s="5">
        <v>1</v>
      </c>
      <c r="N300" s="5" t="s">
        <v>40</v>
      </c>
      <c r="P300" s="7">
        <v>42613</v>
      </c>
      <c r="Q300" s="5">
        <v>2016</v>
      </c>
      <c r="T300" s="5" t="s">
        <v>433</v>
      </c>
      <c r="V300" s="5">
        <v>4000</v>
      </c>
      <c r="W300" s="5" t="s">
        <v>44</v>
      </c>
      <c r="AI300" s="5" t="s">
        <v>2014</v>
      </c>
      <c r="AJ300" s="5" t="s">
        <v>2015</v>
      </c>
    </row>
    <row r="301" spans="1:36" x14ac:dyDescent="0.25">
      <c r="A301" s="5" t="s">
        <v>123</v>
      </c>
      <c r="B301" s="5" t="s">
        <v>426</v>
      </c>
      <c r="C301" s="5" t="s">
        <v>427</v>
      </c>
      <c r="D301" s="5" t="s">
        <v>2415</v>
      </c>
      <c r="E301" s="5">
        <v>52.373545</v>
      </c>
      <c r="F301" s="5">
        <v>-113.92469800000001</v>
      </c>
      <c r="G301" s="6"/>
      <c r="H301" s="6"/>
      <c r="I301" s="6"/>
      <c r="J301" s="6"/>
      <c r="L301" s="5">
        <v>9</v>
      </c>
      <c r="M301" s="5">
        <v>0.98</v>
      </c>
      <c r="N301" s="5" t="s">
        <v>65</v>
      </c>
      <c r="P301" s="7">
        <v>43245</v>
      </c>
      <c r="Q301" s="5">
        <v>2018</v>
      </c>
      <c r="R301" s="6"/>
      <c r="T301" s="5" t="s">
        <v>433</v>
      </c>
      <c r="W301" s="5" t="s">
        <v>44</v>
      </c>
      <c r="AA301" s="10"/>
      <c r="AI301" s="5" t="s">
        <v>2416</v>
      </c>
      <c r="AJ301" s="5" t="s">
        <v>2408</v>
      </c>
    </row>
    <row r="302" spans="1:36" x14ac:dyDescent="0.25">
      <c r="A302" s="5" t="s">
        <v>123</v>
      </c>
      <c r="B302" s="5" t="s">
        <v>426</v>
      </c>
      <c r="C302" s="5" t="s">
        <v>427</v>
      </c>
      <c r="D302" s="5" t="s">
        <v>2417</v>
      </c>
      <c r="E302" s="5">
        <v>52.160499999999999</v>
      </c>
      <c r="F302" s="5">
        <v>-114.0359</v>
      </c>
      <c r="G302" s="6"/>
      <c r="H302" s="6"/>
      <c r="I302" s="6"/>
      <c r="J302" s="6"/>
      <c r="L302" s="5">
        <v>106</v>
      </c>
      <c r="M302" s="5">
        <v>0.7</v>
      </c>
      <c r="N302" s="5" t="s">
        <v>65</v>
      </c>
      <c r="O302" s="5">
        <v>2500</v>
      </c>
      <c r="P302" s="7">
        <v>43262</v>
      </c>
      <c r="Q302" s="5">
        <v>2018</v>
      </c>
      <c r="R302" s="6"/>
      <c r="T302" s="5" t="s">
        <v>433</v>
      </c>
      <c r="W302" s="5" t="s">
        <v>44</v>
      </c>
      <c r="AA302" s="10"/>
      <c r="AI302" s="5" t="s">
        <v>2407</v>
      </c>
      <c r="AJ302" s="5" t="s">
        <v>2408</v>
      </c>
    </row>
    <row r="303" spans="1:36" x14ac:dyDescent="0.25">
      <c r="A303" s="5" t="s">
        <v>51</v>
      </c>
      <c r="B303" s="5" t="s">
        <v>426</v>
      </c>
      <c r="C303" s="5" t="s">
        <v>427</v>
      </c>
      <c r="D303" s="5" t="s">
        <v>2326</v>
      </c>
      <c r="E303" s="5">
        <v>40.197555000000001</v>
      </c>
      <c r="F303" s="5">
        <v>-81.208552999999995</v>
      </c>
      <c r="G303" s="6"/>
      <c r="H303" s="6"/>
      <c r="I303" s="6">
        <v>42008</v>
      </c>
      <c r="J303" s="6">
        <v>42042</v>
      </c>
      <c r="L303" s="5">
        <v>252</v>
      </c>
      <c r="M303" s="5">
        <v>0.7</v>
      </c>
      <c r="N303" s="5" t="s">
        <v>65</v>
      </c>
      <c r="P303" s="5">
        <v>2015</v>
      </c>
      <c r="Q303" s="5">
        <v>2015</v>
      </c>
      <c r="R303" s="6"/>
      <c r="T303" s="5" t="s">
        <v>433</v>
      </c>
      <c r="U303" s="5" t="s">
        <v>2327</v>
      </c>
      <c r="V303" s="5">
        <v>2400</v>
      </c>
      <c r="W303" s="5" t="s">
        <v>44</v>
      </c>
      <c r="AE303" s="5">
        <v>81.599999999999994</v>
      </c>
      <c r="AJ303" s="5" t="s">
        <v>2312</v>
      </c>
    </row>
    <row r="304" spans="1:36" x14ac:dyDescent="0.25">
      <c r="A304" s="5" t="s">
        <v>842</v>
      </c>
      <c r="B304" s="5" t="s">
        <v>426</v>
      </c>
      <c r="C304" s="5" t="s">
        <v>427</v>
      </c>
      <c r="D304" s="5" t="s">
        <v>2016</v>
      </c>
      <c r="E304" s="5">
        <v>54.094214999999998</v>
      </c>
      <c r="F304" s="5">
        <v>18.306011999999999</v>
      </c>
      <c r="G304" s="6">
        <v>42530</v>
      </c>
      <c r="H304" s="6">
        <v>42539</v>
      </c>
      <c r="L304" s="5">
        <v>77</v>
      </c>
      <c r="M304" s="5">
        <v>0.5</v>
      </c>
      <c r="N304" s="5" t="s">
        <v>40</v>
      </c>
      <c r="P304" s="7">
        <v>42546</v>
      </c>
      <c r="Q304" s="5">
        <v>2016</v>
      </c>
      <c r="T304" s="5" t="s">
        <v>433</v>
      </c>
      <c r="V304" s="5">
        <v>4000</v>
      </c>
      <c r="W304" s="5" t="s">
        <v>44</v>
      </c>
      <c r="AI304" s="5" t="s">
        <v>2014</v>
      </c>
      <c r="AJ304" s="5" t="s">
        <v>2015</v>
      </c>
    </row>
    <row r="305" spans="1:36" x14ac:dyDescent="0.25">
      <c r="A305" s="5" t="s">
        <v>123</v>
      </c>
      <c r="B305" s="5" t="s">
        <v>426</v>
      </c>
      <c r="C305" s="5" t="s">
        <v>427</v>
      </c>
      <c r="D305" s="5" t="s">
        <v>439</v>
      </c>
      <c r="G305" s="6"/>
      <c r="H305" s="6"/>
      <c r="L305" s="5">
        <v>2259</v>
      </c>
      <c r="M305" s="5">
        <v>-0.03</v>
      </c>
      <c r="W305" s="5" t="s">
        <v>44</v>
      </c>
      <c r="AJ305" s="5" t="s">
        <v>369</v>
      </c>
    </row>
    <row r="306" spans="1:36" x14ac:dyDescent="0.25">
      <c r="A306" s="5" t="s">
        <v>51</v>
      </c>
      <c r="B306" s="5" t="s">
        <v>426</v>
      </c>
      <c r="C306" s="5" t="s">
        <v>427</v>
      </c>
      <c r="D306" s="5" t="s">
        <v>486</v>
      </c>
      <c r="E306" s="5">
        <v>32.157010999999997</v>
      </c>
      <c r="F306" s="5">
        <v>-94.338095999999993</v>
      </c>
      <c r="G306" s="6">
        <v>35564</v>
      </c>
      <c r="H306" s="6">
        <v>35564</v>
      </c>
      <c r="I306" s="6"/>
      <c r="J306" s="6"/>
      <c r="L306" s="5" t="s">
        <v>2328</v>
      </c>
      <c r="M306" s="5">
        <v>-0.2</v>
      </c>
      <c r="N306" s="5" t="s">
        <v>40</v>
      </c>
      <c r="P306" s="13">
        <v>35564</v>
      </c>
      <c r="R306" s="6"/>
      <c r="S306" s="5">
        <v>560</v>
      </c>
      <c r="T306" s="5" t="s">
        <v>487</v>
      </c>
      <c r="U306" s="5" t="s">
        <v>488</v>
      </c>
      <c r="V306" s="5" t="s">
        <v>489</v>
      </c>
      <c r="W306" s="5" t="s">
        <v>44</v>
      </c>
      <c r="AA306" s="5">
        <f>((40/6.29)*1000)/60</f>
        <v>105.98834128245893</v>
      </c>
      <c r="AB306" s="5" t="s">
        <v>118</v>
      </c>
      <c r="AC306" s="5">
        <f>(76000+190000+304000+532000)/1000</f>
        <v>1102</v>
      </c>
      <c r="AD306" s="5" t="s">
        <v>92</v>
      </c>
      <c r="AI306" s="5" t="s">
        <v>490</v>
      </c>
      <c r="AJ306" s="5" t="s">
        <v>491</v>
      </c>
    </row>
    <row r="307" spans="1:36" x14ac:dyDescent="0.25">
      <c r="A307" s="5" t="s">
        <v>123</v>
      </c>
      <c r="B307" s="5" t="s">
        <v>426</v>
      </c>
      <c r="C307" s="5" t="s">
        <v>427</v>
      </c>
      <c r="D307" s="5" t="s">
        <v>492</v>
      </c>
      <c r="E307" s="5">
        <v>56.571584000000001</v>
      </c>
      <c r="F307" s="5">
        <v>-121.22191100000001</v>
      </c>
      <c r="H307" s="6"/>
      <c r="I307" s="6"/>
      <c r="J307" s="6"/>
      <c r="M307" s="5">
        <v>-0.4</v>
      </c>
      <c r="N307" s="5" t="s">
        <v>40</v>
      </c>
      <c r="P307" s="13"/>
      <c r="R307" s="6"/>
      <c r="T307" s="5" t="s">
        <v>430</v>
      </c>
      <c r="V307" s="5">
        <v>1750</v>
      </c>
      <c r="W307" s="5" t="s">
        <v>44</v>
      </c>
      <c r="AA307" s="5">
        <v>9.8000000000000007</v>
      </c>
      <c r="AB307" s="5" t="s">
        <v>118</v>
      </c>
      <c r="AC307" s="5">
        <f>1098+1078+1175+1111+1109+1090+1225+1092</f>
        <v>8978</v>
      </c>
      <c r="AD307" s="5" t="s">
        <v>92</v>
      </c>
      <c r="AE307" s="5">
        <v>65</v>
      </c>
      <c r="AI307" s="5" t="s">
        <v>493</v>
      </c>
      <c r="AJ307" s="5" t="s">
        <v>494</v>
      </c>
    </row>
    <row r="308" spans="1:36" x14ac:dyDescent="0.25">
      <c r="A308" s="5" t="s">
        <v>51</v>
      </c>
      <c r="B308" s="5" t="s">
        <v>426</v>
      </c>
      <c r="C308" s="5" t="s">
        <v>427</v>
      </c>
      <c r="D308" s="5" t="s">
        <v>495</v>
      </c>
      <c r="E308" s="5">
        <v>42.421554</v>
      </c>
      <c r="F308" s="5">
        <v>-109.70314999999999</v>
      </c>
      <c r="G308" s="6"/>
      <c r="H308" s="6"/>
      <c r="I308" s="6"/>
      <c r="J308" s="6"/>
      <c r="M308" s="5">
        <v>-1.2</v>
      </c>
      <c r="P308" s="13"/>
      <c r="R308" s="6"/>
      <c r="S308" s="5">
        <v>610</v>
      </c>
      <c r="T308" s="5" t="s">
        <v>41</v>
      </c>
      <c r="V308" s="5" t="s">
        <v>496</v>
      </c>
      <c r="W308" s="5" t="s">
        <v>44</v>
      </c>
      <c r="AA308" s="5">
        <f>((30/6.29)*1000)/60</f>
        <v>79.491255961844203</v>
      </c>
      <c r="AB308" s="5" t="s">
        <v>118</v>
      </c>
      <c r="AI308" s="5" t="s">
        <v>497</v>
      </c>
      <c r="AJ308" s="5" t="s">
        <v>498</v>
      </c>
    </row>
    <row r="309" spans="1:36" x14ac:dyDescent="0.25">
      <c r="A309" s="5" t="s">
        <v>51</v>
      </c>
      <c r="B309" s="5" t="s">
        <v>426</v>
      </c>
      <c r="C309" s="5" t="s">
        <v>427</v>
      </c>
      <c r="D309" s="5" t="s">
        <v>499</v>
      </c>
      <c r="E309" s="5">
        <v>35.048229999999997</v>
      </c>
      <c r="F309" s="5">
        <v>-96.249298999999993</v>
      </c>
      <c r="G309" s="6">
        <v>39426</v>
      </c>
      <c r="H309" s="6"/>
      <c r="I309" s="6"/>
      <c r="J309" s="6"/>
      <c r="L309" s="5">
        <v>171</v>
      </c>
      <c r="M309" s="5">
        <v>-1.9</v>
      </c>
      <c r="P309" s="14">
        <v>2007</v>
      </c>
      <c r="Q309" s="5">
        <v>2007</v>
      </c>
      <c r="R309" s="6"/>
      <c r="S309" s="5">
        <v>305</v>
      </c>
      <c r="T309" s="5" t="s">
        <v>433</v>
      </c>
      <c r="U309" s="5" t="s">
        <v>500</v>
      </c>
      <c r="V309" s="5" t="s">
        <v>501</v>
      </c>
      <c r="W309" s="5" t="s">
        <v>44</v>
      </c>
      <c r="AJ309" s="5" t="s">
        <v>502</v>
      </c>
    </row>
    <row r="310" spans="1:36" x14ac:dyDescent="0.25">
      <c r="A310" s="5" t="s">
        <v>123</v>
      </c>
      <c r="B310" s="5" t="s">
        <v>426</v>
      </c>
      <c r="C310" s="5" t="s">
        <v>427</v>
      </c>
      <c r="D310" s="5" t="s">
        <v>503</v>
      </c>
      <c r="G310" s="5">
        <v>2006</v>
      </c>
      <c r="H310" s="6"/>
      <c r="I310" s="6"/>
      <c r="J310" s="6"/>
      <c r="M310" s="5">
        <v>-2.2000000000000002</v>
      </c>
      <c r="N310" s="5" t="s">
        <v>40</v>
      </c>
      <c r="P310" s="14">
        <v>2006</v>
      </c>
      <c r="Q310" s="5">
        <v>2006</v>
      </c>
      <c r="R310" s="6"/>
      <c r="S310" s="5">
        <v>70</v>
      </c>
      <c r="T310" s="5" t="s">
        <v>41</v>
      </c>
      <c r="U310" s="5" t="s">
        <v>504</v>
      </c>
      <c r="V310" s="5" t="s">
        <v>505</v>
      </c>
      <c r="W310" s="5" t="s">
        <v>44</v>
      </c>
      <c r="AA310" s="5">
        <f>(5*1000)/60</f>
        <v>83.333333333333329</v>
      </c>
      <c r="AB310" s="5" t="s">
        <v>118</v>
      </c>
      <c r="AC310" s="5">
        <v>200</v>
      </c>
      <c r="AD310" s="5" t="s">
        <v>92</v>
      </c>
      <c r="AE310" s="5">
        <v>66</v>
      </c>
      <c r="AI310" s="5" t="s">
        <v>506</v>
      </c>
      <c r="AJ310" s="5" t="s">
        <v>507</v>
      </c>
    </row>
    <row r="311" spans="1:36" x14ac:dyDescent="0.25">
      <c r="A311" s="5" t="s">
        <v>153</v>
      </c>
      <c r="B311" s="5" t="s">
        <v>426</v>
      </c>
      <c r="C311" s="5" t="s">
        <v>427</v>
      </c>
      <c r="D311" s="5" t="s">
        <v>2646</v>
      </c>
      <c r="H311" s="6"/>
      <c r="I311" s="6"/>
      <c r="J311" s="6"/>
      <c r="L311" s="5">
        <v>4811</v>
      </c>
      <c r="P311" s="14"/>
      <c r="R311" s="6"/>
      <c r="T311" s="5" t="s">
        <v>2647</v>
      </c>
      <c r="U311" s="5" t="s">
        <v>2648</v>
      </c>
      <c r="V311" s="5" t="s">
        <v>2649</v>
      </c>
      <c r="W311" s="5" t="s">
        <v>44</v>
      </c>
      <c r="AI311" s="5" t="s">
        <v>2650</v>
      </c>
      <c r="AJ311" s="5" t="s">
        <v>2651</v>
      </c>
    </row>
    <row r="312" spans="1:36" x14ac:dyDescent="0.25">
      <c r="A312" s="5" t="s">
        <v>51</v>
      </c>
      <c r="B312" s="5" t="s">
        <v>426</v>
      </c>
      <c r="C312" s="5" t="s">
        <v>427</v>
      </c>
      <c r="D312" s="5" t="s">
        <v>2295</v>
      </c>
      <c r="E312" s="5">
        <v>35.110284999999998</v>
      </c>
      <c r="F312" s="5">
        <v>-97.491496999999995</v>
      </c>
      <c r="P312" s="5"/>
      <c r="W312" s="5" t="s">
        <v>44</v>
      </c>
      <c r="AI312" s="5" t="s">
        <v>2283</v>
      </c>
      <c r="AJ312" s="5" t="s">
        <v>2284</v>
      </c>
    </row>
    <row r="313" spans="1:36" x14ac:dyDescent="0.25">
      <c r="A313" s="5" t="s">
        <v>51</v>
      </c>
      <c r="B313" s="5" t="s">
        <v>426</v>
      </c>
      <c r="C313" s="5" t="s">
        <v>427</v>
      </c>
      <c r="D313" s="5" t="s">
        <v>2295</v>
      </c>
      <c r="E313" s="5">
        <v>35.030797</v>
      </c>
      <c r="F313" s="5">
        <v>-97.568140999999997</v>
      </c>
      <c r="P313" s="5"/>
      <c r="W313" s="5" t="s">
        <v>44</v>
      </c>
      <c r="AI313" s="5" t="s">
        <v>2283</v>
      </c>
      <c r="AJ313" s="5" t="s">
        <v>2284</v>
      </c>
    </row>
    <row r="314" spans="1:36" x14ac:dyDescent="0.25">
      <c r="A314" s="5" t="s">
        <v>51</v>
      </c>
      <c r="B314" s="5" t="s">
        <v>426</v>
      </c>
      <c r="C314" s="5" t="s">
        <v>427</v>
      </c>
      <c r="D314" s="5" t="s">
        <v>2295</v>
      </c>
      <c r="E314" s="5">
        <v>35.030797</v>
      </c>
      <c r="F314" s="5">
        <v>-97.568140999999997</v>
      </c>
      <c r="P314" s="5"/>
      <c r="W314" s="5" t="s">
        <v>44</v>
      </c>
      <c r="AI314" s="5" t="s">
        <v>2283</v>
      </c>
      <c r="AJ314" s="5" t="s">
        <v>2284</v>
      </c>
    </row>
    <row r="315" spans="1:36" x14ac:dyDescent="0.25">
      <c r="A315" s="5" t="s">
        <v>51</v>
      </c>
      <c r="B315" s="5" t="s">
        <v>426</v>
      </c>
      <c r="C315" s="5" t="s">
        <v>427</v>
      </c>
      <c r="D315" s="5" t="s">
        <v>2295</v>
      </c>
      <c r="E315" s="5">
        <v>35.121277999999997</v>
      </c>
      <c r="F315" s="5">
        <v>-97.650473000000005</v>
      </c>
      <c r="P315" s="5">
        <v>2016</v>
      </c>
      <c r="Q315" s="5">
        <v>2016</v>
      </c>
      <c r="W315" s="5" t="s">
        <v>44</v>
      </c>
      <c r="AI315" s="5" t="s">
        <v>2283</v>
      </c>
      <c r="AJ315" s="5" t="s">
        <v>2284</v>
      </c>
    </row>
    <row r="316" spans="1:36" ht="15" customHeight="1" x14ac:dyDescent="0.25">
      <c r="A316" s="5" t="s">
        <v>51</v>
      </c>
      <c r="B316" s="5" t="s">
        <v>426</v>
      </c>
      <c r="C316" s="5" t="s">
        <v>427</v>
      </c>
      <c r="D316" s="5" t="s">
        <v>2295</v>
      </c>
      <c r="E316" s="5">
        <v>35.057692000000003</v>
      </c>
      <c r="F316" s="5">
        <v>-97.654222000000004</v>
      </c>
      <c r="P316" s="5"/>
      <c r="W316" s="5" t="s">
        <v>44</v>
      </c>
      <c r="AI316" s="5" t="s">
        <v>2283</v>
      </c>
      <c r="AJ316" s="5" t="s">
        <v>2284</v>
      </c>
    </row>
    <row r="317" spans="1:36" x14ac:dyDescent="0.25">
      <c r="A317" s="5" t="s">
        <v>51</v>
      </c>
      <c r="B317" s="5" t="s">
        <v>426</v>
      </c>
      <c r="C317" s="5" t="s">
        <v>427</v>
      </c>
      <c r="D317" s="5" t="s">
        <v>2295</v>
      </c>
      <c r="E317" s="5">
        <v>35.044911999999997</v>
      </c>
      <c r="F317" s="5">
        <v>-97.633536000000007</v>
      </c>
      <c r="P317" s="5">
        <v>2015</v>
      </c>
      <c r="Q317" s="5">
        <v>2015</v>
      </c>
      <c r="W317" s="5" t="s">
        <v>44</v>
      </c>
      <c r="AI317" s="5" t="s">
        <v>2283</v>
      </c>
      <c r="AJ317" s="5" t="s">
        <v>2284</v>
      </c>
    </row>
    <row r="318" spans="1:36" x14ac:dyDescent="0.25">
      <c r="A318" s="5" t="s">
        <v>51</v>
      </c>
      <c r="B318" s="5" t="s">
        <v>426</v>
      </c>
      <c r="C318" s="5" t="s">
        <v>427</v>
      </c>
      <c r="D318" s="5" t="s">
        <v>2295</v>
      </c>
      <c r="E318" s="5">
        <v>35.045023999999998</v>
      </c>
      <c r="F318" s="5">
        <v>-97.622788</v>
      </c>
      <c r="P318" s="5">
        <v>2016</v>
      </c>
      <c r="Q318" s="5">
        <v>2016</v>
      </c>
      <c r="W318" s="5" t="s">
        <v>44</v>
      </c>
      <c r="AI318" s="5" t="s">
        <v>2283</v>
      </c>
      <c r="AJ318" s="5" t="s">
        <v>2284</v>
      </c>
    </row>
    <row r="319" spans="1:36" x14ac:dyDescent="0.25">
      <c r="A319" s="5" t="s">
        <v>51</v>
      </c>
      <c r="B319" s="5" t="s">
        <v>426</v>
      </c>
      <c r="C319" s="5" t="s">
        <v>427</v>
      </c>
      <c r="D319" s="5" t="s">
        <v>2295</v>
      </c>
      <c r="E319" s="5">
        <v>35.040053999999998</v>
      </c>
      <c r="F319" s="5">
        <v>-97.602688000000001</v>
      </c>
      <c r="P319" s="5">
        <v>2016</v>
      </c>
      <c r="Q319" s="5">
        <v>2016</v>
      </c>
      <c r="W319" s="5" t="s">
        <v>44</v>
      </c>
      <c r="AI319" s="5" t="s">
        <v>2283</v>
      </c>
      <c r="AJ319" s="5" t="s">
        <v>2284</v>
      </c>
    </row>
    <row r="320" spans="1:36" x14ac:dyDescent="0.25">
      <c r="A320" s="5" t="s">
        <v>51</v>
      </c>
      <c r="B320" s="5" t="s">
        <v>426</v>
      </c>
      <c r="C320" s="5" t="s">
        <v>427</v>
      </c>
      <c r="D320" s="5" t="s">
        <v>2295</v>
      </c>
      <c r="E320" s="5">
        <v>34.987116</v>
      </c>
      <c r="F320" s="5">
        <v>-97.639075000000005</v>
      </c>
      <c r="P320" s="5"/>
      <c r="W320" s="5" t="s">
        <v>44</v>
      </c>
      <c r="AI320" s="5" t="s">
        <v>2283</v>
      </c>
      <c r="AJ320" s="5" t="s">
        <v>2284</v>
      </c>
    </row>
    <row r="321" spans="1:36" x14ac:dyDescent="0.25">
      <c r="A321" s="5" t="s">
        <v>51</v>
      </c>
      <c r="B321" s="5" t="s">
        <v>426</v>
      </c>
      <c r="C321" s="5" t="s">
        <v>427</v>
      </c>
      <c r="D321" s="5" t="s">
        <v>2295</v>
      </c>
      <c r="E321" s="5">
        <v>35.016038000000002</v>
      </c>
      <c r="F321" s="5">
        <v>-97.669820999999999</v>
      </c>
      <c r="P321" s="5">
        <v>2015</v>
      </c>
      <c r="Q321" s="5">
        <v>2015</v>
      </c>
      <c r="W321" s="5" t="s">
        <v>44</v>
      </c>
      <c r="AI321" s="5" t="s">
        <v>2283</v>
      </c>
      <c r="AJ321" s="5" t="s">
        <v>2284</v>
      </c>
    </row>
    <row r="322" spans="1:36" x14ac:dyDescent="0.25">
      <c r="A322" s="5" t="s">
        <v>51</v>
      </c>
      <c r="B322" s="5" t="s">
        <v>426</v>
      </c>
      <c r="C322" s="5" t="s">
        <v>427</v>
      </c>
      <c r="D322" s="5" t="s">
        <v>2295</v>
      </c>
      <c r="E322" s="5">
        <v>35.001049999999999</v>
      </c>
      <c r="F322" s="5">
        <v>-97.681419000000005</v>
      </c>
      <c r="P322" s="5">
        <v>2015</v>
      </c>
      <c r="Q322" s="5">
        <v>2015</v>
      </c>
      <c r="W322" s="5" t="s">
        <v>44</v>
      </c>
      <c r="AI322" s="5" t="s">
        <v>2283</v>
      </c>
      <c r="AJ322" s="5" t="s">
        <v>2284</v>
      </c>
    </row>
    <row r="323" spans="1:36" x14ac:dyDescent="0.25">
      <c r="A323" s="5" t="s">
        <v>51</v>
      </c>
      <c r="B323" s="5" t="s">
        <v>426</v>
      </c>
      <c r="C323" s="5" t="s">
        <v>427</v>
      </c>
      <c r="D323" s="5" t="s">
        <v>2295</v>
      </c>
      <c r="E323" s="5">
        <v>34.957411999999998</v>
      </c>
      <c r="F323" s="5">
        <v>-97.720977000000005</v>
      </c>
      <c r="P323" s="5"/>
      <c r="W323" s="5" t="s">
        <v>44</v>
      </c>
      <c r="AI323" s="5" t="s">
        <v>2283</v>
      </c>
      <c r="AJ323" s="5" t="s">
        <v>2284</v>
      </c>
    </row>
    <row r="324" spans="1:36" x14ac:dyDescent="0.25">
      <c r="A324" s="5" t="s">
        <v>51</v>
      </c>
      <c r="B324" s="5" t="s">
        <v>426</v>
      </c>
      <c r="C324" s="5" t="s">
        <v>427</v>
      </c>
      <c r="D324" s="5" t="s">
        <v>2295</v>
      </c>
      <c r="E324" s="5">
        <v>34.970576999999999</v>
      </c>
      <c r="F324" s="5">
        <v>-97.676810000000003</v>
      </c>
      <c r="P324" s="5">
        <v>2015</v>
      </c>
      <c r="Q324" s="5">
        <v>2015</v>
      </c>
      <c r="W324" s="5" t="s">
        <v>44</v>
      </c>
      <c r="AI324" s="5" t="s">
        <v>2283</v>
      </c>
      <c r="AJ324" s="5" t="s">
        <v>2284</v>
      </c>
    </row>
    <row r="325" spans="1:36" ht="15" customHeight="1" x14ac:dyDescent="0.25">
      <c r="A325" s="5" t="s">
        <v>51</v>
      </c>
      <c r="B325" s="5" t="s">
        <v>426</v>
      </c>
      <c r="C325" s="5" t="s">
        <v>427</v>
      </c>
      <c r="D325" s="5" t="s">
        <v>2295</v>
      </c>
      <c r="E325" s="5">
        <v>34.957794</v>
      </c>
      <c r="F325" s="5">
        <v>-97.690208999999996</v>
      </c>
      <c r="P325" s="5">
        <v>2015</v>
      </c>
      <c r="Q325" s="5">
        <v>2015</v>
      </c>
      <c r="W325" s="5" t="s">
        <v>44</v>
      </c>
      <c r="AI325" s="5" t="s">
        <v>2283</v>
      </c>
      <c r="AJ325" s="5" t="s">
        <v>2284</v>
      </c>
    </row>
    <row r="326" spans="1:36" x14ac:dyDescent="0.25">
      <c r="A326" s="5" t="s">
        <v>51</v>
      </c>
      <c r="B326" s="5" t="s">
        <v>426</v>
      </c>
      <c r="C326" s="5" t="s">
        <v>427</v>
      </c>
      <c r="D326" s="5" t="s">
        <v>2285</v>
      </c>
      <c r="E326" s="5">
        <v>34.608944999999999</v>
      </c>
      <c r="F326" s="5">
        <v>-96.425832</v>
      </c>
      <c r="P326" s="5">
        <v>2012</v>
      </c>
      <c r="Q326" s="5">
        <v>2012</v>
      </c>
      <c r="W326" s="5" t="s">
        <v>44</v>
      </c>
      <c r="AI326" s="5" t="s">
        <v>2283</v>
      </c>
      <c r="AJ326" s="5" t="s">
        <v>2284</v>
      </c>
    </row>
    <row r="327" spans="1:36" x14ac:dyDescent="0.25">
      <c r="A327" s="5" t="s">
        <v>51</v>
      </c>
      <c r="B327" s="5" t="s">
        <v>426</v>
      </c>
      <c r="C327" s="5" t="s">
        <v>427</v>
      </c>
      <c r="D327" s="5" t="s">
        <v>2285</v>
      </c>
      <c r="E327" s="5">
        <v>34.593460999999998</v>
      </c>
      <c r="F327" s="5">
        <v>-96.369246000000004</v>
      </c>
      <c r="P327" s="5">
        <v>2011</v>
      </c>
      <c r="Q327" s="5">
        <v>2011</v>
      </c>
      <c r="W327" s="5" t="s">
        <v>44</v>
      </c>
      <c r="AI327" s="5" t="s">
        <v>2283</v>
      </c>
      <c r="AJ327" s="5" t="s">
        <v>2284</v>
      </c>
    </row>
    <row r="328" spans="1:36" x14ac:dyDescent="0.25">
      <c r="A328" s="5" t="s">
        <v>51</v>
      </c>
      <c r="B328" s="5" t="s">
        <v>426</v>
      </c>
      <c r="C328" s="5" t="s">
        <v>427</v>
      </c>
      <c r="D328" s="5" t="s">
        <v>2285</v>
      </c>
      <c r="E328" s="5">
        <v>34.649130999999997</v>
      </c>
      <c r="F328" s="5">
        <v>-96.396404000000004</v>
      </c>
      <c r="P328" s="5">
        <v>2010</v>
      </c>
      <c r="Q328" s="5">
        <v>2010</v>
      </c>
      <c r="W328" s="5" t="s">
        <v>44</v>
      </c>
      <c r="AI328" s="5" t="s">
        <v>2283</v>
      </c>
      <c r="AJ328" s="5" t="s">
        <v>2284</v>
      </c>
    </row>
    <row r="329" spans="1:36" x14ac:dyDescent="0.25">
      <c r="A329" s="5" t="s">
        <v>51</v>
      </c>
      <c r="B329" s="5" t="s">
        <v>426</v>
      </c>
      <c r="C329" s="5" t="s">
        <v>427</v>
      </c>
      <c r="D329" s="5" t="s">
        <v>2285</v>
      </c>
      <c r="E329" s="5">
        <v>34.651558999999999</v>
      </c>
      <c r="F329" s="5">
        <v>-96.382232999999999</v>
      </c>
      <c r="P329" s="5">
        <v>2012</v>
      </c>
      <c r="Q329" s="5">
        <v>2012</v>
      </c>
      <c r="W329" s="5" t="s">
        <v>44</v>
      </c>
      <c r="AI329" s="5" t="s">
        <v>2283</v>
      </c>
      <c r="AJ329" s="5" t="s">
        <v>2284</v>
      </c>
    </row>
    <row r="330" spans="1:36" x14ac:dyDescent="0.25">
      <c r="A330" s="5" t="s">
        <v>51</v>
      </c>
      <c r="B330" s="5" t="s">
        <v>426</v>
      </c>
      <c r="C330" s="5" t="s">
        <v>427</v>
      </c>
      <c r="D330" s="5" t="s">
        <v>2285</v>
      </c>
      <c r="E330" s="5">
        <v>34.653396000000001</v>
      </c>
      <c r="F330" s="5">
        <v>-96.373243000000002</v>
      </c>
      <c r="P330" s="5">
        <v>2011</v>
      </c>
      <c r="Q330" s="5">
        <v>2011</v>
      </c>
      <c r="W330" s="5" t="s">
        <v>44</v>
      </c>
      <c r="AI330" s="5" t="s">
        <v>2283</v>
      </c>
      <c r="AJ330" s="5" t="s">
        <v>2284</v>
      </c>
    </row>
    <row r="331" spans="1:36" x14ac:dyDescent="0.25">
      <c r="A331" s="5" t="s">
        <v>51</v>
      </c>
      <c r="B331" s="5" t="s">
        <v>426</v>
      </c>
      <c r="C331" s="5" t="s">
        <v>427</v>
      </c>
      <c r="D331" s="5" t="s">
        <v>2285</v>
      </c>
      <c r="E331" s="5">
        <v>34.650184000000003</v>
      </c>
      <c r="F331" s="5">
        <v>-96.355901000000003</v>
      </c>
      <c r="P331" s="5">
        <v>2011</v>
      </c>
      <c r="Q331" s="5">
        <v>2011</v>
      </c>
      <c r="W331" s="5" t="s">
        <v>44</v>
      </c>
      <c r="AI331" s="5" t="s">
        <v>2283</v>
      </c>
      <c r="AJ331" s="5" t="s">
        <v>2284</v>
      </c>
    </row>
    <row r="332" spans="1:36" x14ac:dyDescent="0.25">
      <c r="A332" s="5" t="s">
        <v>51</v>
      </c>
      <c r="B332" s="5" t="s">
        <v>426</v>
      </c>
      <c r="C332" s="5" t="s">
        <v>427</v>
      </c>
      <c r="D332" s="5" t="s">
        <v>2285</v>
      </c>
      <c r="E332" s="5">
        <v>34.681569000000003</v>
      </c>
      <c r="F332" s="5">
        <v>-96.395795000000007</v>
      </c>
      <c r="P332" s="5">
        <v>2011</v>
      </c>
      <c r="Q332" s="5">
        <v>2011</v>
      </c>
      <c r="W332" s="5" t="s">
        <v>44</v>
      </c>
      <c r="AI332" s="5" t="s">
        <v>2283</v>
      </c>
      <c r="AJ332" s="5" t="s">
        <v>2284</v>
      </c>
    </row>
    <row r="333" spans="1:36" x14ac:dyDescent="0.25">
      <c r="A333" s="5" t="s">
        <v>51</v>
      </c>
      <c r="B333" s="5" t="s">
        <v>426</v>
      </c>
      <c r="C333" s="5" t="s">
        <v>427</v>
      </c>
      <c r="D333" s="5" t="s">
        <v>2285</v>
      </c>
      <c r="E333" s="5">
        <v>34.679279999999999</v>
      </c>
      <c r="F333" s="5">
        <v>-96.387107</v>
      </c>
      <c r="P333" s="5">
        <v>2011</v>
      </c>
      <c r="Q333" s="5">
        <v>2011</v>
      </c>
      <c r="W333" s="5" t="s">
        <v>44</v>
      </c>
      <c r="AI333" s="5" t="s">
        <v>2283</v>
      </c>
      <c r="AJ333" s="5" t="s">
        <v>2284</v>
      </c>
    </row>
    <row r="334" spans="1:36" x14ac:dyDescent="0.25">
      <c r="A334" s="5" t="s">
        <v>51</v>
      </c>
      <c r="B334" s="5" t="s">
        <v>426</v>
      </c>
      <c r="C334" s="5" t="s">
        <v>427</v>
      </c>
      <c r="D334" s="5" t="s">
        <v>2285</v>
      </c>
      <c r="E334" s="5">
        <v>34.680515999999997</v>
      </c>
      <c r="F334" s="5">
        <v>-96.370745999999997</v>
      </c>
      <c r="P334" s="5">
        <v>2011</v>
      </c>
      <c r="Q334" s="5">
        <v>2011</v>
      </c>
      <c r="W334" s="5" t="s">
        <v>44</v>
      </c>
      <c r="AI334" s="5" t="s">
        <v>2283</v>
      </c>
      <c r="AJ334" s="5" t="s">
        <v>2284</v>
      </c>
    </row>
    <row r="335" spans="1:36" x14ac:dyDescent="0.25">
      <c r="A335" s="5" t="s">
        <v>51</v>
      </c>
      <c r="B335" s="5" t="s">
        <v>426</v>
      </c>
      <c r="C335" s="5" t="s">
        <v>427</v>
      </c>
      <c r="D335" s="5" t="s">
        <v>2285</v>
      </c>
      <c r="E335" s="5">
        <v>34.680515999999997</v>
      </c>
      <c r="F335" s="5">
        <v>-96.370745999999997</v>
      </c>
      <c r="P335" s="5">
        <v>2011</v>
      </c>
      <c r="Q335" s="5">
        <v>2011</v>
      </c>
      <c r="W335" s="5" t="s">
        <v>44</v>
      </c>
      <c r="AI335" s="5" t="s">
        <v>2283</v>
      </c>
      <c r="AJ335" s="5" t="s">
        <v>2284</v>
      </c>
    </row>
    <row r="336" spans="1:36" x14ac:dyDescent="0.25">
      <c r="A336" s="5" t="s">
        <v>51</v>
      </c>
      <c r="B336" s="5" t="s">
        <v>426</v>
      </c>
      <c r="C336" s="5" t="s">
        <v>427</v>
      </c>
      <c r="D336" s="5" t="s">
        <v>2285</v>
      </c>
      <c r="E336" s="5">
        <v>34.679321999999999</v>
      </c>
      <c r="F336" s="5">
        <v>-96.362330999999998</v>
      </c>
      <c r="P336" s="5">
        <v>2010</v>
      </c>
      <c r="Q336" s="5">
        <v>2010</v>
      </c>
      <c r="W336" s="5" t="s">
        <v>44</v>
      </c>
      <c r="AI336" s="5" t="s">
        <v>2283</v>
      </c>
      <c r="AJ336" s="5" t="s">
        <v>2284</v>
      </c>
    </row>
    <row r="337" spans="1:36" x14ac:dyDescent="0.25">
      <c r="A337" s="5" t="s">
        <v>51</v>
      </c>
      <c r="B337" s="5" t="s">
        <v>426</v>
      </c>
      <c r="C337" s="5" t="s">
        <v>427</v>
      </c>
      <c r="D337" s="5" t="s">
        <v>2313</v>
      </c>
      <c r="E337" s="5">
        <v>34.438952</v>
      </c>
      <c r="F337" s="5">
        <v>-97.689740999999998</v>
      </c>
      <c r="P337" s="5">
        <v>2013</v>
      </c>
      <c r="Q337" s="5">
        <v>2013</v>
      </c>
      <c r="W337" s="5" t="s">
        <v>44</v>
      </c>
      <c r="AI337" s="5" t="s">
        <v>2283</v>
      </c>
      <c r="AJ337" s="5" t="s">
        <v>2284</v>
      </c>
    </row>
    <row r="338" spans="1:36" x14ac:dyDescent="0.25">
      <c r="A338" s="5" t="s">
        <v>51</v>
      </c>
      <c r="B338" s="5" t="s">
        <v>426</v>
      </c>
      <c r="C338" s="5" t="s">
        <v>427</v>
      </c>
      <c r="D338" s="5" t="s">
        <v>2313</v>
      </c>
      <c r="E338" s="5">
        <v>34.416933</v>
      </c>
      <c r="F338" s="5">
        <v>-97.657156000000001</v>
      </c>
      <c r="P338" s="5">
        <v>2013</v>
      </c>
      <c r="Q338" s="5">
        <v>2013</v>
      </c>
      <c r="W338" s="5" t="s">
        <v>44</v>
      </c>
      <c r="AI338" s="5" t="s">
        <v>2283</v>
      </c>
      <c r="AJ338" s="5" t="s">
        <v>2284</v>
      </c>
    </row>
    <row r="339" spans="1:36" x14ac:dyDescent="0.25">
      <c r="A339" s="5" t="s">
        <v>51</v>
      </c>
      <c r="B339" s="5" t="s">
        <v>426</v>
      </c>
      <c r="C339" s="5" t="s">
        <v>427</v>
      </c>
      <c r="D339" s="5" t="s">
        <v>2313</v>
      </c>
      <c r="E339" s="5">
        <v>34.396287999999998</v>
      </c>
      <c r="F339" s="5">
        <v>-97.642540999999994</v>
      </c>
      <c r="P339" s="5">
        <v>2014</v>
      </c>
      <c r="Q339" s="5">
        <v>2014</v>
      </c>
      <c r="W339" s="5" t="s">
        <v>44</v>
      </c>
      <c r="AI339" s="5" t="s">
        <v>2283</v>
      </c>
      <c r="AJ339" s="5" t="s">
        <v>2284</v>
      </c>
    </row>
    <row r="340" spans="1:36" x14ac:dyDescent="0.25">
      <c r="A340" s="5" t="s">
        <v>51</v>
      </c>
      <c r="B340" s="5" t="s">
        <v>426</v>
      </c>
      <c r="C340" s="5" t="s">
        <v>427</v>
      </c>
      <c r="D340" s="5" t="s">
        <v>2313</v>
      </c>
      <c r="E340" s="5">
        <v>34.411327</v>
      </c>
      <c r="F340" s="5">
        <v>-97.63897</v>
      </c>
      <c r="P340" s="5">
        <v>2014</v>
      </c>
      <c r="Q340" s="5">
        <v>2014</v>
      </c>
      <c r="W340" s="5" t="s">
        <v>44</v>
      </c>
      <c r="AI340" s="5" t="s">
        <v>2283</v>
      </c>
      <c r="AJ340" s="5" t="s">
        <v>2284</v>
      </c>
    </row>
    <row r="341" spans="1:36" x14ac:dyDescent="0.25">
      <c r="A341" s="5" t="s">
        <v>51</v>
      </c>
      <c r="B341" s="5" t="s">
        <v>426</v>
      </c>
      <c r="C341" s="5" t="s">
        <v>427</v>
      </c>
      <c r="D341" s="5" t="s">
        <v>2313</v>
      </c>
      <c r="E341" s="5">
        <v>34.407961</v>
      </c>
      <c r="F341" s="5">
        <v>-97.633317000000005</v>
      </c>
      <c r="P341" s="5">
        <v>2013</v>
      </c>
      <c r="Q341" s="5">
        <v>2013</v>
      </c>
      <c r="W341" s="5" t="s">
        <v>44</v>
      </c>
      <c r="AI341" s="5" t="s">
        <v>2283</v>
      </c>
      <c r="AJ341" s="5" t="s">
        <v>2284</v>
      </c>
    </row>
    <row r="342" spans="1:36" x14ac:dyDescent="0.25">
      <c r="A342" s="5" t="s">
        <v>51</v>
      </c>
      <c r="B342" s="5" t="s">
        <v>426</v>
      </c>
      <c r="C342" s="5" t="s">
        <v>427</v>
      </c>
      <c r="D342" s="5" t="s">
        <v>2313</v>
      </c>
      <c r="E342" s="5">
        <v>34.409471000000003</v>
      </c>
      <c r="F342" s="5">
        <v>-97.628411</v>
      </c>
      <c r="P342" s="5">
        <v>2014</v>
      </c>
      <c r="Q342" s="5">
        <v>2014</v>
      </c>
      <c r="W342" s="5" t="s">
        <v>44</v>
      </c>
      <c r="AI342" s="5" t="s">
        <v>2283</v>
      </c>
      <c r="AJ342" s="5" t="s">
        <v>2284</v>
      </c>
    </row>
    <row r="343" spans="1:36" x14ac:dyDescent="0.25">
      <c r="A343" s="5" t="s">
        <v>51</v>
      </c>
      <c r="B343" s="5" t="s">
        <v>426</v>
      </c>
      <c r="C343" s="5" t="s">
        <v>427</v>
      </c>
      <c r="D343" s="5" t="s">
        <v>2313</v>
      </c>
      <c r="E343" s="5">
        <v>34.403925999999998</v>
      </c>
      <c r="F343" s="5">
        <v>-97.634187999999995</v>
      </c>
      <c r="P343" s="5">
        <v>2014</v>
      </c>
      <c r="Q343" s="5">
        <v>2014</v>
      </c>
      <c r="W343" s="5" t="s">
        <v>44</v>
      </c>
      <c r="AI343" s="5" t="s">
        <v>2283</v>
      </c>
      <c r="AJ343" s="5" t="s">
        <v>2284</v>
      </c>
    </row>
    <row r="344" spans="1:36" x14ac:dyDescent="0.25">
      <c r="A344" s="5" t="s">
        <v>51</v>
      </c>
      <c r="B344" s="5" t="s">
        <v>426</v>
      </c>
      <c r="C344" s="5" t="s">
        <v>427</v>
      </c>
      <c r="D344" s="5" t="s">
        <v>2313</v>
      </c>
      <c r="E344" s="5">
        <v>34.411081000000003</v>
      </c>
      <c r="F344" s="5">
        <v>-97.622043000000005</v>
      </c>
      <c r="P344" s="5">
        <v>2014</v>
      </c>
      <c r="Q344" s="5">
        <v>2014</v>
      </c>
      <c r="W344" s="5" t="s">
        <v>44</v>
      </c>
      <c r="AI344" s="5" t="s">
        <v>2283</v>
      </c>
      <c r="AJ344" s="5" t="s">
        <v>2284</v>
      </c>
    </row>
    <row r="345" spans="1:36" x14ac:dyDescent="0.25">
      <c r="A345" s="5" t="s">
        <v>51</v>
      </c>
      <c r="B345" s="5" t="s">
        <v>426</v>
      </c>
      <c r="C345" s="5" t="s">
        <v>427</v>
      </c>
      <c r="D345" s="5" t="s">
        <v>2313</v>
      </c>
      <c r="E345" s="5">
        <v>34.406529999999997</v>
      </c>
      <c r="F345" s="5">
        <v>-97.612178</v>
      </c>
      <c r="P345" s="5">
        <v>2013</v>
      </c>
      <c r="Q345" s="5">
        <v>2013</v>
      </c>
      <c r="W345" s="5" t="s">
        <v>44</v>
      </c>
      <c r="AI345" s="5" t="s">
        <v>2283</v>
      </c>
      <c r="AJ345" s="5" t="s">
        <v>2284</v>
      </c>
    </row>
    <row r="346" spans="1:36" x14ac:dyDescent="0.25">
      <c r="A346" s="5" t="s">
        <v>51</v>
      </c>
      <c r="B346" s="5" t="s">
        <v>426</v>
      </c>
      <c r="C346" s="5" t="s">
        <v>427</v>
      </c>
      <c r="D346" s="5" t="s">
        <v>2313</v>
      </c>
      <c r="E346" s="5">
        <v>34.395626999999998</v>
      </c>
      <c r="F346" s="5">
        <v>-97.617835999999997</v>
      </c>
      <c r="P346" s="5">
        <v>2014</v>
      </c>
      <c r="Q346" s="5">
        <v>2014</v>
      </c>
      <c r="W346" s="5" t="s">
        <v>44</v>
      </c>
      <c r="AI346" s="5" t="s">
        <v>2283</v>
      </c>
      <c r="AJ346" s="5" t="s">
        <v>2284</v>
      </c>
    </row>
    <row r="347" spans="1:36" x14ac:dyDescent="0.25">
      <c r="A347" s="5" t="s">
        <v>51</v>
      </c>
      <c r="B347" s="5" t="s">
        <v>426</v>
      </c>
      <c r="C347" s="5" t="s">
        <v>427</v>
      </c>
      <c r="D347" s="5" t="s">
        <v>2313</v>
      </c>
      <c r="E347" s="5">
        <v>34.395980999999999</v>
      </c>
      <c r="F347" s="5">
        <v>-97.578914999999995</v>
      </c>
      <c r="P347" s="5">
        <v>2014</v>
      </c>
      <c r="Q347" s="5">
        <v>2014</v>
      </c>
      <c r="W347" s="5" t="s">
        <v>44</v>
      </c>
      <c r="AI347" s="5" t="s">
        <v>2283</v>
      </c>
      <c r="AJ347" s="5" t="s">
        <v>2284</v>
      </c>
    </row>
    <row r="348" spans="1:36" x14ac:dyDescent="0.25">
      <c r="A348" s="5" t="s">
        <v>51</v>
      </c>
      <c r="B348" s="5" t="s">
        <v>426</v>
      </c>
      <c r="C348" s="5" t="s">
        <v>427</v>
      </c>
      <c r="D348" s="5" t="s">
        <v>2313</v>
      </c>
      <c r="E348" s="5">
        <v>34.401609999999998</v>
      </c>
      <c r="F348" s="5">
        <v>-97.568353000000002</v>
      </c>
      <c r="P348" s="5">
        <v>2014</v>
      </c>
      <c r="Q348" s="5">
        <v>2014</v>
      </c>
      <c r="W348" s="5" t="s">
        <v>44</v>
      </c>
      <c r="AI348" s="5" t="s">
        <v>2283</v>
      </c>
      <c r="AJ348" s="5" t="s">
        <v>2284</v>
      </c>
    </row>
    <row r="349" spans="1:36" x14ac:dyDescent="0.25">
      <c r="A349" s="5" t="s">
        <v>51</v>
      </c>
      <c r="B349" s="5" t="s">
        <v>426</v>
      </c>
      <c r="C349" s="5" t="s">
        <v>427</v>
      </c>
      <c r="D349" s="5" t="s">
        <v>2287</v>
      </c>
      <c r="E349" s="5">
        <v>36.637869999999999</v>
      </c>
      <c r="F349" s="5">
        <v>-97.427504999999996</v>
      </c>
      <c r="P349" s="5">
        <v>2013</v>
      </c>
      <c r="Q349" s="5">
        <v>2013</v>
      </c>
      <c r="W349" s="5" t="s">
        <v>44</v>
      </c>
      <c r="AI349" s="5" t="s">
        <v>2283</v>
      </c>
      <c r="AJ349" s="5" t="s">
        <v>2284</v>
      </c>
    </row>
    <row r="350" spans="1:36" x14ac:dyDescent="0.25">
      <c r="A350" s="5" t="s">
        <v>51</v>
      </c>
      <c r="B350" s="5" t="s">
        <v>426</v>
      </c>
      <c r="C350" s="5" t="s">
        <v>427</v>
      </c>
      <c r="D350" s="5" t="s">
        <v>2287</v>
      </c>
      <c r="E350" s="5">
        <v>36.639097999999997</v>
      </c>
      <c r="F350" s="5">
        <v>-97.413543000000004</v>
      </c>
      <c r="P350" s="5">
        <v>2013</v>
      </c>
      <c r="Q350" s="5">
        <v>2013</v>
      </c>
      <c r="W350" s="5" t="s">
        <v>44</v>
      </c>
      <c r="AI350" s="5" t="s">
        <v>2283</v>
      </c>
      <c r="AJ350" s="5" t="s">
        <v>2284</v>
      </c>
    </row>
    <row r="351" spans="1:36" ht="15" customHeight="1" x14ac:dyDescent="0.25">
      <c r="A351" s="5" t="s">
        <v>51</v>
      </c>
      <c r="B351" s="5" t="s">
        <v>426</v>
      </c>
      <c r="C351" s="5" t="s">
        <v>427</v>
      </c>
      <c r="D351" s="5" t="s">
        <v>2287</v>
      </c>
      <c r="E351" s="5">
        <v>36.635340999999997</v>
      </c>
      <c r="F351" s="5">
        <v>-97.410843999999997</v>
      </c>
      <c r="P351" s="5">
        <v>2014</v>
      </c>
      <c r="Q351" s="5">
        <v>2014</v>
      </c>
      <c r="W351" s="5" t="s">
        <v>44</v>
      </c>
      <c r="AI351" s="5" t="s">
        <v>2283</v>
      </c>
      <c r="AJ351" s="5" t="s">
        <v>2284</v>
      </c>
    </row>
    <row r="352" spans="1:36" ht="15" customHeight="1" x14ac:dyDescent="0.25">
      <c r="A352" s="5" t="s">
        <v>51</v>
      </c>
      <c r="B352" s="5" t="s">
        <v>426</v>
      </c>
      <c r="C352" s="5" t="s">
        <v>427</v>
      </c>
      <c r="D352" s="5" t="s">
        <v>2287</v>
      </c>
      <c r="E352" s="5">
        <v>36.650621999999998</v>
      </c>
      <c r="F352" s="5">
        <v>-97.389458000000005</v>
      </c>
      <c r="P352" s="5">
        <v>2013</v>
      </c>
      <c r="Q352" s="5">
        <v>2013</v>
      </c>
      <c r="W352" s="5" t="s">
        <v>44</v>
      </c>
      <c r="AI352" s="5" t="s">
        <v>2283</v>
      </c>
      <c r="AJ352" s="5" t="s">
        <v>2284</v>
      </c>
    </row>
    <row r="353" spans="1:36" x14ac:dyDescent="0.25">
      <c r="A353" s="5" t="s">
        <v>51</v>
      </c>
      <c r="B353" s="5" t="s">
        <v>426</v>
      </c>
      <c r="C353" s="5" t="s">
        <v>427</v>
      </c>
      <c r="D353" s="5" t="s">
        <v>2287</v>
      </c>
      <c r="E353" s="5">
        <v>36.650939000000001</v>
      </c>
      <c r="F353" s="5">
        <v>-97.370148</v>
      </c>
      <c r="P353" s="5">
        <v>2013</v>
      </c>
      <c r="Q353" s="5">
        <v>2013</v>
      </c>
      <c r="W353" s="5" t="s">
        <v>44</v>
      </c>
      <c r="AI353" s="5" t="s">
        <v>2283</v>
      </c>
      <c r="AJ353" s="5" t="s">
        <v>2284</v>
      </c>
    </row>
    <row r="354" spans="1:36" x14ac:dyDescent="0.25">
      <c r="A354" s="5" t="s">
        <v>51</v>
      </c>
      <c r="B354" s="5" t="s">
        <v>426</v>
      </c>
      <c r="C354" s="5" t="s">
        <v>427</v>
      </c>
      <c r="D354" s="5" t="s">
        <v>2287</v>
      </c>
      <c r="E354" s="5">
        <v>36.594231000000001</v>
      </c>
      <c r="F354" s="5">
        <v>-97.360380000000006</v>
      </c>
      <c r="P354" s="5">
        <v>2014</v>
      </c>
      <c r="Q354" s="5">
        <v>2014</v>
      </c>
      <c r="W354" s="5" t="s">
        <v>44</v>
      </c>
      <c r="AI354" s="5" t="s">
        <v>2283</v>
      </c>
      <c r="AJ354" s="5" t="s">
        <v>2284</v>
      </c>
    </row>
    <row r="355" spans="1:36" x14ac:dyDescent="0.25">
      <c r="A355" s="5" t="s">
        <v>51</v>
      </c>
      <c r="B355" s="5" t="s">
        <v>426</v>
      </c>
      <c r="C355" s="5" t="s">
        <v>427</v>
      </c>
      <c r="D355" s="5" t="s">
        <v>2287</v>
      </c>
      <c r="E355" s="5">
        <v>36.594268</v>
      </c>
      <c r="F355" s="5">
        <v>-97.340823</v>
      </c>
      <c r="P355" s="5">
        <v>2013</v>
      </c>
      <c r="Q355" s="5">
        <v>2013</v>
      </c>
      <c r="W355" s="5" t="s">
        <v>44</v>
      </c>
      <c r="AI355" s="5" t="s">
        <v>2283</v>
      </c>
      <c r="AJ355" s="5" t="s">
        <v>2284</v>
      </c>
    </row>
    <row r="356" spans="1:36" x14ac:dyDescent="0.25">
      <c r="A356" s="5" t="s">
        <v>51</v>
      </c>
      <c r="B356" s="5" t="s">
        <v>426</v>
      </c>
      <c r="C356" s="5" t="s">
        <v>427</v>
      </c>
      <c r="D356" s="5" t="s">
        <v>2287</v>
      </c>
      <c r="E356" s="5">
        <v>36.661735999999998</v>
      </c>
      <c r="F356" s="5">
        <v>-97.307868999999997</v>
      </c>
      <c r="P356" s="5"/>
      <c r="W356" s="5" t="s">
        <v>44</v>
      </c>
      <c r="AI356" s="5" t="s">
        <v>2283</v>
      </c>
      <c r="AJ356" s="5" t="s">
        <v>2284</v>
      </c>
    </row>
    <row r="357" spans="1:36" x14ac:dyDescent="0.25">
      <c r="A357" s="5" t="s">
        <v>51</v>
      </c>
      <c r="B357" s="5" t="s">
        <v>426</v>
      </c>
      <c r="C357" s="5" t="s">
        <v>427</v>
      </c>
      <c r="D357" s="5" t="s">
        <v>2287</v>
      </c>
      <c r="E357" s="5">
        <v>36.664817999999997</v>
      </c>
      <c r="F357" s="5">
        <v>-97.307868999999997</v>
      </c>
      <c r="P357" s="5"/>
      <c r="W357" s="5" t="s">
        <v>44</v>
      </c>
      <c r="AI357" s="5" t="s">
        <v>2283</v>
      </c>
      <c r="AJ357" s="5" t="s">
        <v>2284</v>
      </c>
    </row>
    <row r="358" spans="1:36" x14ac:dyDescent="0.25">
      <c r="A358" s="5" t="s">
        <v>51</v>
      </c>
      <c r="B358" s="5" t="s">
        <v>426</v>
      </c>
      <c r="C358" s="5" t="s">
        <v>427</v>
      </c>
      <c r="D358" s="5" t="s">
        <v>2287</v>
      </c>
      <c r="E358" s="5">
        <v>36.694992999999997</v>
      </c>
      <c r="F358" s="5">
        <v>-97.281795000000002</v>
      </c>
      <c r="P358" s="5">
        <v>2012</v>
      </c>
      <c r="Q358" s="5">
        <v>2012</v>
      </c>
      <c r="W358" s="5" t="s">
        <v>44</v>
      </c>
      <c r="AI358" s="5" t="s">
        <v>2283</v>
      </c>
      <c r="AJ358" s="5" t="s">
        <v>2284</v>
      </c>
    </row>
    <row r="359" spans="1:36" x14ac:dyDescent="0.25">
      <c r="A359" s="5" t="s">
        <v>51</v>
      </c>
      <c r="B359" s="5" t="s">
        <v>426</v>
      </c>
      <c r="C359" s="5" t="s">
        <v>427</v>
      </c>
      <c r="D359" s="5" t="s">
        <v>2287</v>
      </c>
      <c r="P359" s="5"/>
      <c r="W359" s="5" t="s">
        <v>44</v>
      </c>
      <c r="AI359" s="5" t="s">
        <v>2283</v>
      </c>
      <c r="AJ359" s="5" t="s">
        <v>2284</v>
      </c>
    </row>
    <row r="360" spans="1:36" x14ac:dyDescent="0.25">
      <c r="A360" s="5" t="s">
        <v>51</v>
      </c>
      <c r="B360" s="5" t="s">
        <v>426</v>
      </c>
      <c r="C360" s="5" t="s">
        <v>427</v>
      </c>
      <c r="D360" s="5" t="s">
        <v>2287</v>
      </c>
      <c r="P360" s="5"/>
      <c r="W360" s="5" t="s">
        <v>44</v>
      </c>
      <c r="AI360" s="5" t="s">
        <v>2283</v>
      </c>
      <c r="AJ360" s="5" t="s">
        <v>2284</v>
      </c>
    </row>
    <row r="361" spans="1:36" x14ac:dyDescent="0.25">
      <c r="A361" s="5" t="s">
        <v>51</v>
      </c>
      <c r="B361" s="5" t="s">
        <v>426</v>
      </c>
      <c r="C361" s="5" t="s">
        <v>427</v>
      </c>
      <c r="D361" s="5" t="s">
        <v>2287</v>
      </c>
      <c r="P361" s="5"/>
      <c r="W361" s="5" t="s">
        <v>44</v>
      </c>
      <c r="AI361" s="5" t="s">
        <v>2283</v>
      </c>
      <c r="AJ361" s="5" t="s">
        <v>2284</v>
      </c>
    </row>
    <row r="362" spans="1:36" ht="16.5" customHeight="1" x14ac:dyDescent="0.25">
      <c r="A362" s="5" t="s">
        <v>51</v>
      </c>
      <c r="B362" s="5" t="s">
        <v>426</v>
      </c>
      <c r="C362" s="5" t="s">
        <v>427</v>
      </c>
      <c r="D362" s="5" t="s">
        <v>2287</v>
      </c>
      <c r="P362" s="5"/>
      <c r="W362" s="5" t="s">
        <v>44</v>
      </c>
      <c r="AI362" s="5" t="s">
        <v>2283</v>
      </c>
      <c r="AJ362" s="5" t="s">
        <v>2284</v>
      </c>
    </row>
    <row r="363" spans="1:36" ht="16.5" customHeight="1" x14ac:dyDescent="0.25">
      <c r="A363" s="5" t="s">
        <v>51</v>
      </c>
      <c r="B363" s="5" t="s">
        <v>426</v>
      </c>
      <c r="C363" s="5" t="s">
        <v>427</v>
      </c>
      <c r="D363" s="5" t="s">
        <v>2296</v>
      </c>
      <c r="E363" s="5">
        <v>36.103865999999996</v>
      </c>
      <c r="F363" s="5">
        <v>-97.860605000000007</v>
      </c>
      <c r="P363" s="5">
        <v>2016</v>
      </c>
      <c r="Q363" s="5">
        <v>2016</v>
      </c>
      <c r="W363" s="5" t="s">
        <v>44</v>
      </c>
      <c r="AI363" s="5" t="s">
        <v>2283</v>
      </c>
      <c r="AJ363" s="5" t="s">
        <v>2284</v>
      </c>
    </row>
    <row r="364" spans="1:36" ht="16.5" customHeight="1" x14ac:dyDescent="0.25">
      <c r="A364" s="5" t="s">
        <v>51</v>
      </c>
      <c r="B364" s="5" t="s">
        <v>426</v>
      </c>
      <c r="C364" s="5" t="s">
        <v>427</v>
      </c>
      <c r="D364" s="5" t="s">
        <v>2296</v>
      </c>
      <c r="E364" s="5">
        <v>36.103865999999996</v>
      </c>
      <c r="F364" s="5">
        <v>-97.860605000000007</v>
      </c>
      <c r="P364" s="5">
        <v>2016</v>
      </c>
      <c r="Q364" s="5">
        <v>2016</v>
      </c>
      <c r="W364" s="5" t="s">
        <v>44</v>
      </c>
      <c r="AI364" s="5" t="s">
        <v>2283</v>
      </c>
      <c r="AJ364" s="5" t="s">
        <v>2284</v>
      </c>
    </row>
    <row r="365" spans="1:36" ht="16.5" customHeight="1" x14ac:dyDescent="0.25">
      <c r="A365" s="5" t="s">
        <v>51</v>
      </c>
      <c r="B365" s="5" t="s">
        <v>426</v>
      </c>
      <c r="C365" s="5" t="s">
        <v>427</v>
      </c>
      <c r="D365" s="5" t="s">
        <v>2296</v>
      </c>
      <c r="E365" s="5">
        <v>36.058695999999998</v>
      </c>
      <c r="F365" s="5">
        <v>-97.814570000000003</v>
      </c>
      <c r="P365" s="5">
        <v>2016</v>
      </c>
      <c r="Q365" s="5">
        <v>2016</v>
      </c>
      <c r="W365" s="5" t="s">
        <v>44</v>
      </c>
      <c r="AI365" s="5" t="s">
        <v>2283</v>
      </c>
      <c r="AJ365" s="5" t="s">
        <v>2284</v>
      </c>
    </row>
    <row r="366" spans="1:36" ht="15" customHeight="1" x14ac:dyDescent="0.25">
      <c r="A366" s="5" t="s">
        <v>51</v>
      </c>
      <c r="B366" s="5" t="s">
        <v>426</v>
      </c>
      <c r="C366" s="5" t="s">
        <v>427</v>
      </c>
      <c r="D366" s="5" t="s">
        <v>2296</v>
      </c>
      <c r="E366" s="5">
        <v>36.030039000000002</v>
      </c>
      <c r="F366" s="5">
        <v>-97.775009999999995</v>
      </c>
      <c r="P366" s="5">
        <v>2016</v>
      </c>
      <c r="Q366" s="5">
        <v>2016</v>
      </c>
      <c r="W366" s="5" t="s">
        <v>44</v>
      </c>
      <c r="AI366" s="5" t="s">
        <v>2283</v>
      </c>
      <c r="AJ366" s="5" t="s">
        <v>2284</v>
      </c>
    </row>
    <row r="367" spans="1:36" ht="15" customHeight="1" x14ac:dyDescent="0.25">
      <c r="A367" s="5" t="s">
        <v>51</v>
      </c>
      <c r="B367" s="5" t="s">
        <v>426</v>
      </c>
      <c r="C367" s="5" t="s">
        <v>427</v>
      </c>
      <c r="D367" s="5" t="s">
        <v>2296</v>
      </c>
      <c r="E367" s="5">
        <v>36.015555999999997</v>
      </c>
      <c r="F367" s="5">
        <v>-97.725131000000005</v>
      </c>
      <c r="P367" s="5">
        <v>2016</v>
      </c>
      <c r="Q367" s="5">
        <v>2016</v>
      </c>
      <c r="W367" s="5" t="s">
        <v>44</v>
      </c>
      <c r="AI367" s="5" t="s">
        <v>2283</v>
      </c>
      <c r="AJ367" s="5" t="s">
        <v>2284</v>
      </c>
    </row>
    <row r="368" spans="1:36" ht="15" customHeight="1" x14ac:dyDescent="0.25">
      <c r="A368" s="5" t="s">
        <v>51</v>
      </c>
      <c r="B368" s="5" t="s">
        <v>426</v>
      </c>
      <c r="C368" s="5" t="s">
        <v>427</v>
      </c>
      <c r="D368" s="5" t="s">
        <v>2296</v>
      </c>
      <c r="E368" s="5">
        <v>36.029761000000001</v>
      </c>
      <c r="F368" s="5">
        <v>-97.718581999999998</v>
      </c>
      <c r="P368" s="5">
        <v>2016</v>
      </c>
      <c r="Q368" s="5">
        <v>2016</v>
      </c>
      <c r="W368" s="5" t="s">
        <v>44</v>
      </c>
      <c r="AI368" s="5" t="s">
        <v>2283</v>
      </c>
      <c r="AJ368" s="5" t="s">
        <v>2284</v>
      </c>
    </row>
    <row r="369" spans="1:36" x14ac:dyDescent="0.25">
      <c r="A369" s="5" t="s">
        <v>51</v>
      </c>
      <c r="B369" s="5" t="s">
        <v>426</v>
      </c>
      <c r="C369" s="5" t="s">
        <v>427</v>
      </c>
      <c r="D369" s="5" t="s">
        <v>2296</v>
      </c>
      <c r="E369" s="5">
        <v>36.042656000000001</v>
      </c>
      <c r="F369" s="5">
        <v>-97.694918999999999</v>
      </c>
      <c r="P369" s="5">
        <v>2016</v>
      </c>
      <c r="Q369" s="5">
        <v>2016</v>
      </c>
      <c r="W369" s="5" t="s">
        <v>44</v>
      </c>
      <c r="AI369" s="5" t="s">
        <v>2283</v>
      </c>
      <c r="AJ369" s="5" t="s">
        <v>2284</v>
      </c>
    </row>
    <row r="370" spans="1:36" x14ac:dyDescent="0.25">
      <c r="A370" s="5" t="s">
        <v>51</v>
      </c>
      <c r="B370" s="5" t="s">
        <v>426</v>
      </c>
      <c r="C370" s="5" t="s">
        <v>427</v>
      </c>
      <c r="D370" s="5" t="s">
        <v>2296</v>
      </c>
      <c r="E370" s="5">
        <v>36.044215000000001</v>
      </c>
      <c r="F370" s="5">
        <v>-97.739231000000004</v>
      </c>
      <c r="P370" s="5">
        <v>2016</v>
      </c>
      <c r="Q370" s="5">
        <v>2016</v>
      </c>
      <c r="W370" s="5" t="s">
        <v>44</v>
      </c>
      <c r="AI370" s="5" t="s">
        <v>2283</v>
      </c>
      <c r="AJ370" s="5" t="s">
        <v>2284</v>
      </c>
    </row>
    <row r="371" spans="1:36" x14ac:dyDescent="0.25">
      <c r="A371" s="5" t="s">
        <v>51</v>
      </c>
      <c r="B371" s="5" t="s">
        <v>426</v>
      </c>
      <c r="C371" s="5" t="s">
        <v>427</v>
      </c>
      <c r="D371" s="5" t="s">
        <v>2296</v>
      </c>
      <c r="E371" s="5">
        <v>36.070835000000002</v>
      </c>
      <c r="F371" s="5">
        <v>-97.731058000000004</v>
      </c>
      <c r="P371" s="5">
        <v>2016</v>
      </c>
      <c r="Q371" s="5">
        <v>2016</v>
      </c>
      <c r="W371" s="5" t="s">
        <v>44</v>
      </c>
      <c r="AI371" s="5" t="s">
        <v>2283</v>
      </c>
      <c r="AJ371" s="5" t="s">
        <v>2284</v>
      </c>
    </row>
    <row r="372" spans="1:36" x14ac:dyDescent="0.25">
      <c r="A372" s="5" t="s">
        <v>51</v>
      </c>
      <c r="B372" s="5" t="s">
        <v>426</v>
      </c>
      <c r="C372" s="5" t="s">
        <v>427</v>
      </c>
      <c r="D372" s="5" t="s">
        <v>2296</v>
      </c>
      <c r="E372" s="5">
        <v>36.072643999999997</v>
      </c>
      <c r="F372" s="5">
        <v>-97.707024000000004</v>
      </c>
      <c r="P372" s="5">
        <v>2016</v>
      </c>
      <c r="Q372" s="5">
        <v>2016</v>
      </c>
      <c r="W372" s="5" t="s">
        <v>44</v>
      </c>
      <c r="AI372" s="5" t="s">
        <v>2283</v>
      </c>
      <c r="AJ372" s="5" t="s">
        <v>2284</v>
      </c>
    </row>
    <row r="373" spans="1:36" x14ac:dyDescent="0.25">
      <c r="A373" s="5" t="s">
        <v>51</v>
      </c>
      <c r="B373" s="5" t="s">
        <v>426</v>
      </c>
      <c r="C373" s="5" t="s">
        <v>427</v>
      </c>
      <c r="D373" s="5" t="s">
        <v>2296</v>
      </c>
      <c r="P373" s="5"/>
      <c r="W373" s="5" t="s">
        <v>44</v>
      </c>
      <c r="AI373" s="5" t="s">
        <v>2283</v>
      </c>
      <c r="AJ373" s="5" t="s">
        <v>2284</v>
      </c>
    </row>
    <row r="374" spans="1:36" ht="16.5" customHeight="1" x14ac:dyDescent="0.25">
      <c r="A374" s="5" t="s">
        <v>51</v>
      </c>
      <c r="B374" s="5" t="s">
        <v>426</v>
      </c>
      <c r="C374" s="5" t="s">
        <v>427</v>
      </c>
      <c r="D374" s="5" t="s">
        <v>2288</v>
      </c>
      <c r="E374" s="5">
        <v>36.202534</v>
      </c>
      <c r="F374" s="5">
        <v>-98.931890999999993</v>
      </c>
      <c r="P374" s="5">
        <v>2016</v>
      </c>
      <c r="Q374" s="5">
        <v>2016</v>
      </c>
      <c r="W374" s="5" t="s">
        <v>44</v>
      </c>
      <c r="AI374" s="5" t="s">
        <v>2283</v>
      </c>
      <c r="AJ374" s="5" t="s">
        <v>2284</v>
      </c>
    </row>
    <row r="375" spans="1:36" x14ac:dyDescent="0.25">
      <c r="A375" s="5" t="s">
        <v>51</v>
      </c>
      <c r="B375" s="5" t="s">
        <v>426</v>
      </c>
      <c r="C375" s="5" t="s">
        <v>427</v>
      </c>
      <c r="D375" s="5" t="s">
        <v>2288</v>
      </c>
      <c r="E375" s="5">
        <v>36.145088999999999</v>
      </c>
      <c r="F375" s="5">
        <v>-98.835830999999999</v>
      </c>
      <c r="P375" s="5">
        <v>2016</v>
      </c>
      <c r="Q375" s="5">
        <v>2016</v>
      </c>
      <c r="W375" s="5" t="s">
        <v>44</v>
      </c>
      <c r="AI375" s="5" t="s">
        <v>2283</v>
      </c>
      <c r="AJ375" s="5" t="s">
        <v>2284</v>
      </c>
    </row>
    <row r="376" spans="1:36" ht="15" customHeight="1" x14ac:dyDescent="0.25">
      <c r="A376" s="5" t="s">
        <v>51</v>
      </c>
      <c r="B376" s="5" t="s">
        <v>426</v>
      </c>
      <c r="C376" s="5" t="s">
        <v>427</v>
      </c>
      <c r="D376" s="5" t="s">
        <v>2288</v>
      </c>
      <c r="E376" s="5">
        <v>36.201476</v>
      </c>
      <c r="F376" s="5">
        <v>-98.799548999999999</v>
      </c>
      <c r="P376" s="5">
        <v>2016</v>
      </c>
      <c r="Q376" s="5">
        <v>2016</v>
      </c>
      <c r="W376" s="5" t="s">
        <v>44</v>
      </c>
      <c r="AI376" s="5" t="s">
        <v>2283</v>
      </c>
      <c r="AJ376" s="5" t="s">
        <v>2284</v>
      </c>
    </row>
    <row r="377" spans="1:36" x14ac:dyDescent="0.25">
      <c r="A377" s="5" t="s">
        <v>51</v>
      </c>
      <c r="B377" s="5" t="s">
        <v>426</v>
      </c>
      <c r="C377" s="5" t="s">
        <v>427</v>
      </c>
      <c r="D377" s="5" t="s">
        <v>2288</v>
      </c>
      <c r="E377" s="5">
        <v>36.174781000000003</v>
      </c>
      <c r="F377" s="5">
        <v>-98.776275999999996</v>
      </c>
      <c r="P377" s="5">
        <v>2016</v>
      </c>
      <c r="Q377" s="5">
        <v>2016</v>
      </c>
      <c r="W377" s="5" t="s">
        <v>44</v>
      </c>
      <c r="AI377" s="5" t="s">
        <v>2283</v>
      </c>
      <c r="AJ377" s="5" t="s">
        <v>2284</v>
      </c>
    </row>
    <row r="378" spans="1:36" x14ac:dyDescent="0.25">
      <c r="A378" s="5" t="s">
        <v>51</v>
      </c>
      <c r="B378" s="5" t="s">
        <v>426</v>
      </c>
      <c r="C378" s="5" t="s">
        <v>427</v>
      </c>
      <c r="D378" s="5" t="s">
        <v>2286</v>
      </c>
      <c r="E378" s="5">
        <v>35.768070000000002</v>
      </c>
      <c r="F378" s="5">
        <v>-98.385981000000001</v>
      </c>
      <c r="P378" s="5">
        <v>2011</v>
      </c>
      <c r="Q378" s="5">
        <v>2011</v>
      </c>
      <c r="W378" s="5" t="s">
        <v>44</v>
      </c>
      <c r="AI378" s="5" t="s">
        <v>2283</v>
      </c>
      <c r="AJ378" s="5" t="s">
        <v>2284</v>
      </c>
    </row>
    <row r="379" spans="1:36" x14ac:dyDescent="0.25">
      <c r="A379" s="5" t="s">
        <v>51</v>
      </c>
      <c r="B379" s="5" t="s">
        <v>426</v>
      </c>
      <c r="C379" s="5" t="s">
        <v>427</v>
      </c>
      <c r="D379" s="5" t="s">
        <v>2286</v>
      </c>
      <c r="E379" s="5">
        <v>35.782668999999999</v>
      </c>
      <c r="F379" s="5">
        <v>-98.515428</v>
      </c>
      <c r="P379" s="5"/>
      <c r="W379" s="5" t="s">
        <v>44</v>
      </c>
      <c r="AI379" s="5" t="s">
        <v>2283</v>
      </c>
      <c r="AJ379" s="5" t="s">
        <v>2284</v>
      </c>
    </row>
    <row r="380" spans="1:36" x14ac:dyDescent="0.25">
      <c r="A380" s="5" t="s">
        <v>51</v>
      </c>
      <c r="B380" s="5" t="s">
        <v>426</v>
      </c>
      <c r="C380" s="5" t="s">
        <v>427</v>
      </c>
      <c r="D380" s="5" t="s">
        <v>2286</v>
      </c>
      <c r="E380" s="5">
        <v>35.78369</v>
      </c>
      <c r="F380" s="5">
        <v>-98.429024999999996</v>
      </c>
      <c r="P380" s="5"/>
      <c r="W380" s="5" t="s">
        <v>44</v>
      </c>
      <c r="AI380" s="5" t="s">
        <v>2283</v>
      </c>
      <c r="AJ380" s="5" t="s">
        <v>2284</v>
      </c>
    </row>
    <row r="381" spans="1:36" x14ac:dyDescent="0.25">
      <c r="A381" s="5" t="s">
        <v>51</v>
      </c>
      <c r="B381" s="5" t="s">
        <v>426</v>
      </c>
      <c r="C381" s="5" t="s">
        <v>427</v>
      </c>
      <c r="D381" s="5" t="s">
        <v>2286</v>
      </c>
      <c r="E381" s="5">
        <v>35.782372000000002</v>
      </c>
      <c r="F381" s="5">
        <v>-98.402758000000006</v>
      </c>
      <c r="P381" s="5">
        <v>2011</v>
      </c>
      <c r="Q381" s="5">
        <v>2011</v>
      </c>
      <c r="W381" s="5" t="s">
        <v>44</v>
      </c>
      <c r="AI381" s="5" t="s">
        <v>2283</v>
      </c>
      <c r="AJ381" s="5" t="s">
        <v>2284</v>
      </c>
    </row>
    <row r="382" spans="1:36" x14ac:dyDescent="0.25">
      <c r="A382" s="5" t="s">
        <v>51</v>
      </c>
      <c r="B382" s="5" t="s">
        <v>426</v>
      </c>
      <c r="C382" s="5" t="s">
        <v>427</v>
      </c>
      <c r="D382" s="5" t="s">
        <v>2286</v>
      </c>
      <c r="E382" s="5">
        <v>35.796469000000002</v>
      </c>
      <c r="F382" s="5">
        <v>-98.461831000000004</v>
      </c>
      <c r="P382" s="5">
        <v>2016</v>
      </c>
      <c r="Q382" s="5">
        <v>2016</v>
      </c>
      <c r="W382" s="5" t="s">
        <v>44</v>
      </c>
      <c r="AI382" s="5" t="s">
        <v>2283</v>
      </c>
      <c r="AJ382" s="5" t="s">
        <v>2284</v>
      </c>
    </row>
    <row r="383" spans="1:36" x14ac:dyDescent="0.25">
      <c r="A383" s="5" t="s">
        <v>51</v>
      </c>
      <c r="B383" s="5" t="s">
        <v>426</v>
      </c>
      <c r="C383" s="5" t="s">
        <v>427</v>
      </c>
      <c r="D383" s="5" t="s">
        <v>2286</v>
      </c>
      <c r="E383" s="5">
        <v>35.797234000000003</v>
      </c>
      <c r="F383" s="5">
        <v>-98.420502999999997</v>
      </c>
      <c r="P383" s="5">
        <v>2011</v>
      </c>
      <c r="Q383" s="5">
        <v>2011</v>
      </c>
      <c r="W383" s="5" t="s">
        <v>44</v>
      </c>
      <c r="AI383" s="5" t="s">
        <v>2283</v>
      </c>
      <c r="AJ383" s="5" t="s">
        <v>2284</v>
      </c>
    </row>
    <row r="384" spans="1:36" x14ac:dyDescent="0.25">
      <c r="A384" s="5" t="s">
        <v>51</v>
      </c>
      <c r="B384" s="5" t="s">
        <v>426</v>
      </c>
      <c r="C384" s="5" t="s">
        <v>427</v>
      </c>
      <c r="D384" s="5" t="s">
        <v>2286</v>
      </c>
      <c r="E384" s="5">
        <v>35.798079000000001</v>
      </c>
      <c r="F384" s="5">
        <v>-98.411388000000002</v>
      </c>
      <c r="P384" s="5">
        <v>2011</v>
      </c>
      <c r="Q384" s="5">
        <v>2011</v>
      </c>
      <c r="W384" s="5" t="s">
        <v>44</v>
      </c>
      <c r="AI384" s="5" t="s">
        <v>2283</v>
      </c>
      <c r="AJ384" s="5" t="s">
        <v>2284</v>
      </c>
    </row>
    <row r="385" spans="1:36" x14ac:dyDescent="0.25">
      <c r="A385" s="5" t="s">
        <v>51</v>
      </c>
      <c r="B385" s="5" t="s">
        <v>426</v>
      </c>
      <c r="C385" s="5" t="s">
        <v>427</v>
      </c>
      <c r="D385" s="5" t="s">
        <v>2286</v>
      </c>
      <c r="E385" s="5">
        <v>35.813059000000003</v>
      </c>
      <c r="F385" s="5">
        <v>-98.446686999999997</v>
      </c>
      <c r="P385" s="5">
        <v>2011</v>
      </c>
      <c r="Q385" s="5">
        <v>2011</v>
      </c>
      <c r="W385" s="5" t="s">
        <v>44</v>
      </c>
      <c r="AI385" s="5" t="s">
        <v>2283</v>
      </c>
      <c r="AJ385" s="5" t="s">
        <v>2284</v>
      </c>
    </row>
    <row r="386" spans="1:36" x14ac:dyDescent="0.25">
      <c r="A386" s="5" t="s">
        <v>51</v>
      </c>
      <c r="B386" s="5" t="s">
        <v>426</v>
      </c>
      <c r="C386" s="5" t="s">
        <v>427</v>
      </c>
      <c r="D386" s="5" t="s">
        <v>2286</v>
      </c>
      <c r="E386" s="5">
        <v>35.812868000000002</v>
      </c>
      <c r="F386" s="5">
        <v>-98.407655000000005</v>
      </c>
      <c r="P386" s="5">
        <v>2016</v>
      </c>
      <c r="Q386" s="5">
        <v>2016</v>
      </c>
      <c r="W386" s="5" t="s">
        <v>44</v>
      </c>
      <c r="AI386" s="5" t="s">
        <v>2283</v>
      </c>
      <c r="AJ386" s="5" t="s">
        <v>2284</v>
      </c>
    </row>
    <row r="387" spans="1:36" x14ac:dyDescent="0.25">
      <c r="A387" s="5" t="s">
        <v>51</v>
      </c>
      <c r="B387" s="5" t="s">
        <v>426</v>
      </c>
      <c r="C387" s="5" t="s">
        <v>427</v>
      </c>
      <c r="D387" s="5" t="s">
        <v>2286</v>
      </c>
      <c r="E387" s="5">
        <v>35.827188999999997</v>
      </c>
      <c r="F387" s="5">
        <v>-98.464371999999997</v>
      </c>
      <c r="P387" s="5"/>
      <c r="W387" s="5" t="s">
        <v>44</v>
      </c>
      <c r="AI387" s="5" t="s">
        <v>2283</v>
      </c>
      <c r="AJ387" s="5" t="s">
        <v>2284</v>
      </c>
    </row>
    <row r="388" spans="1:36" x14ac:dyDescent="0.25">
      <c r="A388" s="5" t="s">
        <v>51</v>
      </c>
      <c r="B388" s="5" t="s">
        <v>426</v>
      </c>
      <c r="C388" s="5" t="s">
        <v>427</v>
      </c>
      <c r="D388" s="5" t="s">
        <v>2286</v>
      </c>
      <c r="E388" s="5">
        <v>35.842699000000003</v>
      </c>
      <c r="F388" s="5">
        <v>-98.467436000000006</v>
      </c>
      <c r="P388" s="5"/>
      <c r="W388" s="5" t="s">
        <v>44</v>
      </c>
      <c r="AI388" s="5" t="s">
        <v>2283</v>
      </c>
      <c r="AJ388" s="5" t="s">
        <v>2284</v>
      </c>
    </row>
    <row r="389" spans="1:36" x14ac:dyDescent="0.25">
      <c r="A389" s="5" t="s">
        <v>51</v>
      </c>
      <c r="B389" s="5" t="s">
        <v>426</v>
      </c>
      <c r="C389" s="5" t="s">
        <v>427</v>
      </c>
      <c r="D389" s="5" t="s">
        <v>2286</v>
      </c>
      <c r="E389" s="5">
        <v>35.896549</v>
      </c>
      <c r="F389" s="5">
        <v>-98.373917000000006</v>
      </c>
      <c r="P389" s="5">
        <v>2016</v>
      </c>
      <c r="Q389" s="5">
        <v>2016</v>
      </c>
      <c r="W389" s="5" t="s">
        <v>44</v>
      </c>
      <c r="AI389" s="5" t="s">
        <v>2283</v>
      </c>
      <c r="AJ389" s="5" t="s">
        <v>2284</v>
      </c>
    </row>
    <row r="390" spans="1:36" x14ac:dyDescent="0.25">
      <c r="A390" s="5" t="s">
        <v>51</v>
      </c>
      <c r="B390" s="5" t="s">
        <v>426</v>
      </c>
      <c r="C390" s="5" t="s">
        <v>427</v>
      </c>
      <c r="D390" s="5" t="s">
        <v>2297</v>
      </c>
      <c r="P390" s="5"/>
      <c r="W390" s="5" t="s">
        <v>44</v>
      </c>
      <c r="AI390" s="5" t="s">
        <v>2283</v>
      </c>
      <c r="AJ390" s="5" t="s">
        <v>2284</v>
      </c>
    </row>
    <row r="391" spans="1:36" x14ac:dyDescent="0.25">
      <c r="A391" s="5" t="s">
        <v>51</v>
      </c>
      <c r="B391" s="5" t="s">
        <v>426</v>
      </c>
      <c r="C391" s="5" t="s">
        <v>427</v>
      </c>
      <c r="D391" s="5" t="s">
        <v>2298</v>
      </c>
      <c r="E391" s="5">
        <v>35.623199</v>
      </c>
      <c r="F391" s="5">
        <v>-98.028700000000001</v>
      </c>
      <c r="P391" s="5"/>
      <c r="W391" s="5" t="s">
        <v>44</v>
      </c>
      <c r="AI391" s="5" t="s">
        <v>2283</v>
      </c>
      <c r="AJ391" s="5" t="s">
        <v>2284</v>
      </c>
    </row>
    <row r="392" spans="1:36" x14ac:dyDescent="0.25">
      <c r="A392" s="5" t="s">
        <v>51</v>
      </c>
      <c r="B392" s="5" t="s">
        <v>426</v>
      </c>
      <c r="C392" s="5" t="s">
        <v>427</v>
      </c>
      <c r="D392" s="5" t="s">
        <v>2298</v>
      </c>
      <c r="E392" s="5">
        <v>35.580829999999999</v>
      </c>
      <c r="F392" s="5">
        <v>-97.99588</v>
      </c>
      <c r="P392" s="5"/>
      <c r="W392" s="5" t="s">
        <v>44</v>
      </c>
      <c r="AI392" s="5" t="s">
        <v>2283</v>
      </c>
      <c r="AJ392" s="5" t="s">
        <v>2284</v>
      </c>
    </row>
    <row r="393" spans="1:36" x14ac:dyDescent="0.25">
      <c r="A393" s="5" t="s">
        <v>51</v>
      </c>
      <c r="B393" s="5" t="s">
        <v>426</v>
      </c>
      <c r="C393" s="5" t="s">
        <v>427</v>
      </c>
      <c r="D393" s="5" t="s">
        <v>2298</v>
      </c>
      <c r="E393" s="5">
        <v>35.565204999999999</v>
      </c>
      <c r="F393" s="5">
        <v>-98.066678999999993</v>
      </c>
      <c r="P393" s="5"/>
      <c r="W393" s="5" t="s">
        <v>44</v>
      </c>
      <c r="AI393" s="5" t="s">
        <v>2283</v>
      </c>
      <c r="AJ393" s="5" t="s">
        <v>2284</v>
      </c>
    </row>
    <row r="394" spans="1:36" x14ac:dyDescent="0.25">
      <c r="A394" s="5" t="s">
        <v>51</v>
      </c>
      <c r="B394" s="5" t="s">
        <v>426</v>
      </c>
      <c r="C394" s="5" t="s">
        <v>427</v>
      </c>
      <c r="D394" s="5" t="s">
        <v>2298</v>
      </c>
      <c r="E394" s="5">
        <v>35.556649</v>
      </c>
      <c r="F394" s="5">
        <v>-98.067627000000002</v>
      </c>
      <c r="P394" s="5">
        <v>2014</v>
      </c>
      <c r="Q394" s="5">
        <v>2014</v>
      </c>
      <c r="W394" s="5" t="s">
        <v>44</v>
      </c>
      <c r="AI394" s="5" t="s">
        <v>2283</v>
      </c>
      <c r="AJ394" s="5" t="s">
        <v>2284</v>
      </c>
    </row>
    <row r="395" spans="1:36" x14ac:dyDescent="0.25">
      <c r="A395" s="5" t="s">
        <v>51</v>
      </c>
      <c r="B395" s="5" t="s">
        <v>426</v>
      </c>
      <c r="C395" s="5" t="s">
        <v>427</v>
      </c>
      <c r="D395" s="5" t="s">
        <v>2298</v>
      </c>
      <c r="E395" s="5">
        <v>35.556649</v>
      </c>
      <c r="F395" s="5">
        <v>-98.067627000000002</v>
      </c>
      <c r="P395" s="5">
        <v>2014</v>
      </c>
      <c r="Q395" s="5">
        <v>2014</v>
      </c>
      <c r="W395" s="5" t="s">
        <v>44</v>
      </c>
      <c r="AI395" s="5" t="s">
        <v>2283</v>
      </c>
      <c r="AJ395" s="5" t="s">
        <v>2284</v>
      </c>
    </row>
    <row r="396" spans="1:36" x14ac:dyDescent="0.25">
      <c r="A396" s="5" t="s">
        <v>51</v>
      </c>
      <c r="B396" s="5" t="s">
        <v>426</v>
      </c>
      <c r="C396" s="5" t="s">
        <v>427</v>
      </c>
      <c r="D396" s="5" t="s">
        <v>2298</v>
      </c>
      <c r="E396" s="5">
        <v>35.465009000000002</v>
      </c>
      <c r="F396" s="5">
        <v>-97.911320000000003</v>
      </c>
      <c r="P396" s="5">
        <v>2016</v>
      </c>
      <c r="Q396" s="5">
        <v>2016</v>
      </c>
      <c r="W396" s="5" t="s">
        <v>44</v>
      </c>
      <c r="AI396" s="5" t="s">
        <v>2283</v>
      </c>
      <c r="AJ396" s="5" t="s">
        <v>2284</v>
      </c>
    </row>
    <row r="397" spans="1:36" x14ac:dyDescent="0.25">
      <c r="A397" s="5" t="s">
        <v>51</v>
      </c>
      <c r="B397" s="5" t="s">
        <v>426</v>
      </c>
      <c r="C397" s="5" t="s">
        <v>427</v>
      </c>
      <c r="D397" s="5" t="s">
        <v>2298</v>
      </c>
      <c r="E397" s="5">
        <v>35.479667999999997</v>
      </c>
      <c r="F397" s="5">
        <v>-97.922278000000006</v>
      </c>
      <c r="P397" s="5">
        <v>2016</v>
      </c>
      <c r="Q397" s="5">
        <v>2016</v>
      </c>
      <c r="W397" s="5" t="s">
        <v>44</v>
      </c>
      <c r="AI397" s="5" t="s">
        <v>2283</v>
      </c>
      <c r="AJ397" s="5" t="s">
        <v>2284</v>
      </c>
    </row>
    <row r="398" spans="1:36" x14ac:dyDescent="0.25">
      <c r="A398" s="5" t="s">
        <v>51</v>
      </c>
      <c r="B398" s="5" t="s">
        <v>426</v>
      </c>
      <c r="C398" s="5" t="s">
        <v>427</v>
      </c>
      <c r="D398" s="5" t="s">
        <v>2298</v>
      </c>
      <c r="E398" s="5">
        <v>35.580792000000002</v>
      </c>
      <c r="F398" s="5">
        <v>-97.829031000000001</v>
      </c>
      <c r="P398" s="5"/>
      <c r="W398" s="5" t="s">
        <v>44</v>
      </c>
      <c r="AI398" s="5" t="s">
        <v>2283</v>
      </c>
      <c r="AJ398" s="5" t="s">
        <v>2284</v>
      </c>
    </row>
    <row r="399" spans="1:36" x14ac:dyDescent="0.25">
      <c r="A399" s="5" t="s">
        <v>51</v>
      </c>
      <c r="B399" s="5" t="s">
        <v>426</v>
      </c>
      <c r="C399" s="5" t="s">
        <v>427</v>
      </c>
      <c r="D399" s="5" t="s">
        <v>2298</v>
      </c>
      <c r="P399" s="5"/>
      <c r="W399" s="5" t="s">
        <v>44</v>
      </c>
      <c r="AI399" s="5" t="s">
        <v>2283</v>
      </c>
      <c r="AJ399" s="5" t="s">
        <v>2284</v>
      </c>
    </row>
    <row r="400" spans="1:36" x14ac:dyDescent="0.25">
      <c r="A400" s="5" t="s">
        <v>51</v>
      </c>
      <c r="B400" s="5" t="s">
        <v>426</v>
      </c>
      <c r="C400" s="5" t="s">
        <v>427</v>
      </c>
      <c r="D400" s="5" t="s">
        <v>2298</v>
      </c>
      <c r="P400" s="5"/>
      <c r="W400" s="5" t="s">
        <v>44</v>
      </c>
      <c r="AI400" s="5" t="s">
        <v>2283</v>
      </c>
      <c r="AJ400" s="5" t="s">
        <v>2284</v>
      </c>
    </row>
    <row r="401" spans="1:36" x14ac:dyDescent="0.25">
      <c r="A401" s="5" t="s">
        <v>51</v>
      </c>
      <c r="B401" s="5" t="s">
        <v>426</v>
      </c>
      <c r="C401" s="5" t="s">
        <v>427</v>
      </c>
      <c r="D401" s="5" t="s">
        <v>2298</v>
      </c>
      <c r="P401" s="5"/>
      <c r="W401" s="5" t="s">
        <v>44</v>
      </c>
      <c r="AI401" s="5" t="s">
        <v>2283</v>
      </c>
      <c r="AJ401" s="5" t="s">
        <v>2284</v>
      </c>
    </row>
    <row r="402" spans="1:36" x14ac:dyDescent="0.25">
      <c r="A402" s="5" t="s">
        <v>51</v>
      </c>
      <c r="B402" s="5" t="s">
        <v>426</v>
      </c>
      <c r="C402" s="5" t="s">
        <v>427</v>
      </c>
      <c r="D402" s="5" t="s">
        <v>2292</v>
      </c>
      <c r="E402" s="5">
        <v>35.117258</v>
      </c>
      <c r="F402" s="5">
        <v>-97.927833000000007</v>
      </c>
      <c r="P402" s="5"/>
      <c r="W402" s="5" t="s">
        <v>44</v>
      </c>
      <c r="AI402" s="5" t="s">
        <v>2283</v>
      </c>
      <c r="AJ402" s="5" t="s">
        <v>2284</v>
      </c>
    </row>
    <row r="403" spans="1:36" x14ac:dyDescent="0.25">
      <c r="A403" s="5" t="s">
        <v>51</v>
      </c>
      <c r="B403" s="5" t="s">
        <v>426</v>
      </c>
      <c r="C403" s="5" t="s">
        <v>427</v>
      </c>
      <c r="D403" s="5" t="s">
        <v>2292</v>
      </c>
      <c r="E403" s="5">
        <v>35.146577999999998</v>
      </c>
      <c r="F403" s="5">
        <v>-97.852864999999994</v>
      </c>
      <c r="P403" s="5"/>
      <c r="W403" s="5" t="s">
        <v>44</v>
      </c>
      <c r="AI403" s="5" t="s">
        <v>2283</v>
      </c>
      <c r="AJ403" s="5" t="s">
        <v>2284</v>
      </c>
    </row>
    <row r="404" spans="1:36" ht="15" customHeight="1" x14ac:dyDescent="0.25">
      <c r="A404" s="5" t="s">
        <v>51</v>
      </c>
      <c r="B404" s="5" t="s">
        <v>426</v>
      </c>
      <c r="C404" s="5" t="s">
        <v>427</v>
      </c>
      <c r="D404" s="5" t="s">
        <v>2292</v>
      </c>
      <c r="E404" s="5">
        <v>35.151006000000002</v>
      </c>
      <c r="F404" s="5">
        <v>-97.839005999999998</v>
      </c>
      <c r="P404" s="5"/>
      <c r="W404" s="5" t="s">
        <v>44</v>
      </c>
      <c r="AI404" s="5" t="s">
        <v>2283</v>
      </c>
      <c r="AJ404" s="5" t="s">
        <v>2284</v>
      </c>
    </row>
    <row r="405" spans="1:36" ht="15" customHeight="1" x14ac:dyDescent="0.25">
      <c r="A405" s="5" t="s">
        <v>51</v>
      </c>
      <c r="B405" s="5" t="s">
        <v>426</v>
      </c>
      <c r="C405" s="5" t="s">
        <v>427</v>
      </c>
      <c r="D405" s="5" t="s">
        <v>2292</v>
      </c>
      <c r="E405" s="5">
        <v>35.131754999999998</v>
      </c>
      <c r="F405" s="5">
        <v>-97.844678000000002</v>
      </c>
      <c r="P405" s="5"/>
      <c r="W405" s="5" t="s">
        <v>44</v>
      </c>
      <c r="AI405" s="5" t="s">
        <v>2283</v>
      </c>
      <c r="AJ405" s="5" t="s">
        <v>2284</v>
      </c>
    </row>
    <row r="406" spans="1:36" ht="15" customHeight="1" x14ac:dyDescent="0.25">
      <c r="A406" s="5" t="s">
        <v>51</v>
      </c>
      <c r="B406" s="5" t="s">
        <v>426</v>
      </c>
      <c r="C406" s="5" t="s">
        <v>427</v>
      </c>
      <c r="D406" s="5" t="s">
        <v>2292</v>
      </c>
      <c r="E406" s="5">
        <v>35.101377999999997</v>
      </c>
      <c r="F406" s="5">
        <v>-97.841566</v>
      </c>
      <c r="P406" s="5"/>
      <c r="W406" s="5" t="s">
        <v>44</v>
      </c>
      <c r="AI406" s="5" t="s">
        <v>2283</v>
      </c>
      <c r="AJ406" s="5" t="s">
        <v>2284</v>
      </c>
    </row>
    <row r="407" spans="1:36" ht="15" customHeight="1" x14ac:dyDescent="0.25">
      <c r="A407" s="5" t="s">
        <v>51</v>
      </c>
      <c r="B407" s="5" t="s">
        <v>426</v>
      </c>
      <c r="C407" s="5" t="s">
        <v>427</v>
      </c>
      <c r="D407" s="5" t="s">
        <v>2292</v>
      </c>
      <c r="E407" s="5">
        <v>35.059421</v>
      </c>
      <c r="F407" s="5">
        <v>-97.737870000000001</v>
      </c>
      <c r="P407" s="5"/>
      <c r="W407" s="5" t="s">
        <v>44</v>
      </c>
      <c r="AI407" s="5" t="s">
        <v>2283</v>
      </c>
      <c r="AJ407" s="5" t="s">
        <v>2284</v>
      </c>
    </row>
    <row r="408" spans="1:36" x14ac:dyDescent="0.25">
      <c r="A408" s="5" t="s">
        <v>51</v>
      </c>
      <c r="B408" s="5" t="s">
        <v>426</v>
      </c>
      <c r="C408" s="5" t="s">
        <v>427</v>
      </c>
      <c r="D408" s="5" t="s">
        <v>2292</v>
      </c>
      <c r="E408" s="5">
        <v>35.030264000000003</v>
      </c>
      <c r="F408" s="5">
        <v>-97.742662999999993</v>
      </c>
      <c r="P408" s="5"/>
      <c r="W408" s="5" t="s">
        <v>44</v>
      </c>
      <c r="AI408" s="5" t="s">
        <v>2283</v>
      </c>
      <c r="AJ408" s="5" t="s">
        <v>2284</v>
      </c>
    </row>
    <row r="409" spans="1:36" x14ac:dyDescent="0.25">
      <c r="A409" s="5" t="s">
        <v>51</v>
      </c>
      <c r="B409" s="5" t="s">
        <v>426</v>
      </c>
      <c r="C409" s="5" t="s">
        <v>427</v>
      </c>
      <c r="D409" s="5" t="s">
        <v>2306</v>
      </c>
      <c r="E409" s="5">
        <v>34.901155000000003</v>
      </c>
      <c r="F409" s="5">
        <v>-97.833059000000006</v>
      </c>
      <c r="P409" s="5">
        <v>2015</v>
      </c>
      <c r="Q409" s="5">
        <v>2015</v>
      </c>
      <c r="W409" s="5" t="s">
        <v>44</v>
      </c>
      <c r="AI409" s="5" t="s">
        <v>2283</v>
      </c>
      <c r="AJ409" s="5" t="s">
        <v>2284</v>
      </c>
    </row>
    <row r="410" spans="1:36" x14ac:dyDescent="0.25">
      <c r="A410" s="5" t="s">
        <v>51</v>
      </c>
      <c r="B410" s="5" t="s">
        <v>426</v>
      </c>
      <c r="C410" s="5" t="s">
        <v>427</v>
      </c>
      <c r="D410" s="5" t="s">
        <v>2306</v>
      </c>
      <c r="E410" s="5">
        <v>34.895024999999997</v>
      </c>
      <c r="F410" s="5">
        <v>-97.833965000000006</v>
      </c>
      <c r="P410" s="5">
        <v>2015</v>
      </c>
      <c r="Q410" s="5">
        <v>2015</v>
      </c>
      <c r="W410" s="5" t="s">
        <v>44</v>
      </c>
      <c r="AI410" s="5" t="s">
        <v>2283</v>
      </c>
      <c r="AJ410" s="5" t="s">
        <v>2284</v>
      </c>
    </row>
    <row r="411" spans="1:36" x14ac:dyDescent="0.25">
      <c r="A411" s="5" t="s">
        <v>51</v>
      </c>
      <c r="B411" s="5" t="s">
        <v>426</v>
      </c>
      <c r="C411" s="5" t="s">
        <v>427</v>
      </c>
      <c r="D411" s="5" t="s">
        <v>2306</v>
      </c>
      <c r="E411" s="5">
        <v>34.833430999999997</v>
      </c>
      <c r="F411" s="5">
        <v>-97.822981999999996</v>
      </c>
      <c r="P411" s="5">
        <v>2013</v>
      </c>
      <c r="Q411" s="5">
        <v>2013</v>
      </c>
      <c r="W411" s="5" t="s">
        <v>44</v>
      </c>
      <c r="AI411" s="5" t="s">
        <v>2283</v>
      </c>
      <c r="AJ411" s="5" t="s">
        <v>2284</v>
      </c>
    </row>
    <row r="412" spans="1:36" x14ac:dyDescent="0.25">
      <c r="A412" s="5" t="s">
        <v>51</v>
      </c>
      <c r="B412" s="5" t="s">
        <v>426</v>
      </c>
      <c r="C412" s="5" t="s">
        <v>427</v>
      </c>
      <c r="D412" s="5" t="s">
        <v>2306</v>
      </c>
      <c r="E412" s="5">
        <v>34.833131000000002</v>
      </c>
      <c r="F412" s="5">
        <v>-97.815264999999997</v>
      </c>
      <c r="P412" s="5">
        <v>2015</v>
      </c>
      <c r="Q412" s="5">
        <v>2015</v>
      </c>
      <c r="W412" s="5" t="s">
        <v>44</v>
      </c>
      <c r="AI412" s="5" t="s">
        <v>2283</v>
      </c>
      <c r="AJ412" s="5" t="s">
        <v>2284</v>
      </c>
    </row>
    <row r="413" spans="1:36" x14ac:dyDescent="0.25">
      <c r="A413" s="5" t="s">
        <v>51</v>
      </c>
      <c r="B413" s="5" t="s">
        <v>426</v>
      </c>
      <c r="C413" s="5" t="s">
        <v>427</v>
      </c>
      <c r="D413" s="5" t="s">
        <v>2306</v>
      </c>
      <c r="E413" s="5">
        <v>34.833483999999999</v>
      </c>
      <c r="F413" s="5">
        <v>-97.812016</v>
      </c>
      <c r="P413" s="5">
        <v>2015</v>
      </c>
      <c r="Q413" s="5">
        <v>2015</v>
      </c>
      <c r="W413" s="5" t="s">
        <v>44</v>
      </c>
      <c r="AI413" s="5" t="s">
        <v>2283</v>
      </c>
      <c r="AJ413" s="5" t="s">
        <v>2284</v>
      </c>
    </row>
    <row r="414" spans="1:36" x14ac:dyDescent="0.25">
      <c r="A414" s="5" t="s">
        <v>51</v>
      </c>
      <c r="B414" s="5" t="s">
        <v>426</v>
      </c>
      <c r="C414" s="5" t="s">
        <v>427</v>
      </c>
      <c r="D414" s="5" t="s">
        <v>2306</v>
      </c>
      <c r="E414" s="5">
        <v>34.818367000000002</v>
      </c>
      <c r="F414" s="5">
        <v>-97.794224</v>
      </c>
      <c r="P414" s="5">
        <v>2015</v>
      </c>
      <c r="Q414" s="5">
        <v>2015</v>
      </c>
      <c r="W414" s="5" t="s">
        <v>44</v>
      </c>
      <c r="AI414" s="5" t="s">
        <v>2283</v>
      </c>
      <c r="AJ414" s="5" t="s">
        <v>2284</v>
      </c>
    </row>
    <row r="415" spans="1:36" x14ac:dyDescent="0.25">
      <c r="A415" s="5" t="s">
        <v>51</v>
      </c>
      <c r="B415" s="5" t="s">
        <v>426</v>
      </c>
      <c r="C415" s="5" t="s">
        <v>427</v>
      </c>
      <c r="D415" s="5" t="s">
        <v>2306</v>
      </c>
      <c r="E415" s="5">
        <v>34.813355000000001</v>
      </c>
      <c r="F415" s="5">
        <v>-97.758866999999995</v>
      </c>
      <c r="P415" s="5">
        <v>2015</v>
      </c>
      <c r="Q415" s="5">
        <v>2015</v>
      </c>
      <c r="W415" s="5" t="s">
        <v>44</v>
      </c>
      <c r="AI415" s="5" t="s">
        <v>2283</v>
      </c>
      <c r="AJ415" s="5" t="s">
        <v>2284</v>
      </c>
    </row>
    <row r="416" spans="1:36" ht="15" customHeight="1" x14ac:dyDescent="0.25">
      <c r="A416" s="5" t="s">
        <v>51</v>
      </c>
      <c r="B416" s="5" t="s">
        <v>426</v>
      </c>
      <c r="C416" s="5" t="s">
        <v>427</v>
      </c>
      <c r="D416" s="5" t="s">
        <v>2306</v>
      </c>
      <c r="E416" s="5">
        <v>34.811176000000003</v>
      </c>
      <c r="F416" s="5">
        <v>-97.750711999999993</v>
      </c>
      <c r="P416" s="5">
        <v>2015</v>
      </c>
      <c r="Q416" s="5">
        <v>2015</v>
      </c>
      <c r="W416" s="5" t="s">
        <v>44</v>
      </c>
      <c r="AI416" s="5" t="s">
        <v>2283</v>
      </c>
      <c r="AJ416" s="5" t="s">
        <v>2284</v>
      </c>
    </row>
    <row r="417" spans="1:36" x14ac:dyDescent="0.25">
      <c r="A417" s="5" t="s">
        <v>51</v>
      </c>
      <c r="B417" s="5" t="s">
        <v>426</v>
      </c>
      <c r="C417" s="5" t="s">
        <v>427</v>
      </c>
      <c r="D417" s="5" t="s">
        <v>2306</v>
      </c>
      <c r="E417" s="5">
        <v>34.798171000000004</v>
      </c>
      <c r="F417" s="5">
        <v>-97.757846000000001</v>
      </c>
      <c r="P417" s="5">
        <v>2012</v>
      </c>
      <c r="Q417" s="5">
        <v>2012</v>
      </c>
      <c r="W417" s="5" t="s">
        <v>44</v>
      </c>
      <c r="AI417" s="5" t="s">
        <v>2283</v>
      </c>
      <c r="AJ417" s="5" t="s">
        <v>2284</v>
      </c>
    </row>
    <row r="418" spans="1:36" x14ac:dyDescent="0.25">
      <c r="A418" s="5" t="s">
        <v>51</v>
      </c>
      <c r="B418" s="5" t="s">
        <v>426</v>
      </c>
      <c r="C418" s="5" t="s">
        <v>427</v>
      </c>
      <c r="D418" s="5" t="s">
        <v>2306</v>
      </c>
      <c r="E418" s="5">
        <v>34.769143</v>
      </c>
      <c r="F418" s="5">
        <v>-97.742581999999999</v>
      </c>
      <c r="P418" s="5">
        <v>2012</v>
      </c>
      <c r="Q418" s="5">
        <v>2012</v>
      </c>
      <c r="W418" s="5" t="s">
        <v>44</v>
      </c>
      <c r="AI418" s="5" t="s">
        <v>2283</v>
      </c>
      <c r="AJ418" s="5" t="s">
        <v>2284</v>
      </c>
    </row>
    <row r="419" spans="1:36" x14ac:dyDescent="0.25">
      <c r="A419" s="5" t="s">
        <v>51</v>
      </c>
      <c r="B419" s="5" t="s">
        <v>426</v>
      </c>
      <c r="C419" s="5" t="s">
        <v>427</v>
      </c>
      <c r="D419" s="5" t="s">
        <v>2306</v>
      </c>
      <c r="E419" s="5">
        <v>34.769576999999998</v>
      </c>
      <c r="F419" s="5">
        <v>-97.729191</v>
      </c>
      <c r="P419" s="5">
        <v>2012</v>
      </c>
      <c r="Q419" s="5">
        <v>2012</v>
      </c>
      <c r="W419" s="5" t="s">
        <v>44</v>
      </c>
      <c r="AI419" s="5" t="s">
        <v>2283</v>
      </c>
      <c r="AJ419" s="5" t="s">
        <v>2284</v>
      </c>
    </row>
    <row r="420" spans="1:36" x14ac:dyDescent="0.25">
      <c r="A420" s="5" t="s">
        <v>51</v>
      </c>
      <c r="B420" s="5" t="s">
        <v>426</v>
      </c>
      <c r="C420" s="5" t="s">
        <v>427</v>
      </c>
      <c r="D420" s="5" t="s">
        <v>2306</v>
      </c>
      <c r="E420" s="5">
        <v>34.798290000000001</v>
      </c>
      <c r="F420" s="5">
        <v>-97.701639999999998</v>
      </c>
      <c r="P420" s="5">
        <v>2012</v>
      </c>
      <c r="Q420" s="5">
        <v>2012</v>
      </c>
      <c r="W420" s="5" t="s">
        <v>44</v>
      </c>
      <c r="AI420" s="5" t="s">
        <v>2283</v>
      </c>
      <c r="AJ420" s="5" t="s">
        <v>2284</v>
      </c>
    </row>
    <row r="421" spans="1:36" x14ac:dyDescent="0.25">
      <c r="A421" s="5" t="s">
        <v>51</v>
      </c>
      <c r="B421" s="5" t="s">
        <v>426</v>
      </c>
      <c r="C421" s="5" t="s">
        <v>427</v>
      </c>
      <c r="D421" s="5" t="s">
        <v>2306</v>
      </c>
      <c r="E421" s="5">
        <v>34.836787000000001</v>
      </c>
      <c r="F421" s="5">
        <v>-97.695817000000005</v>
      </c>
      <c r="P421" s="5">
        <v>2013</v>
      </c>
      <c r="Q421" s="5">
        <v>2013</v>
      </c>
      <c r="W421" s="5" t="s">
        <v>44</v>
      </c>
      <c r="AI421" s="5" t="s">
        <v>2283</v>
      </c>
      <c r="AJ421" s="5" t="s">
        <v>2284</v>
      </c>
    </row>
    <row r="422" spans="1:36" x14ac:dyDescent="0.25">
      <c r="A422" s="5" t="s">
        <v>51</v>
      </c>
      <c r="B422" s="5" t="s">
        <v>426</v>
      </c>
      <c r="C422" s="5" t="s">
        <v>427</v>
      </c>
      <c r="D422" s="5" t="s">
        <v>2306</v>
      </c>
      <c r="E422" s="5">
        <v>34.841804000000003</v>
      </c>
      <c r="F422" s="5">
        <v>-97.777018999999996</v>
      </c>
      <c r="P422" s="5">
        <v>2012</v>
      </c>
      <c r="Q422" s="5">
        <v>2012</v>
      </c>
      <c r="W422" s="5" t="s">
        <v>44</v>
      </c>
      <c r="AI422" s="5" t="s">
        <v>2283</v>
      </c>
      <c r="AJ422" s="5" t="s">
        <v>2284</v>
      </c>
    </row>
    <row r="423" spans="1:36" x14ac:dyDescent="0.25">
      <c r="A423" s="5" t="s">
        <v>51</v>
      </c>
      <c r="B423" s="5" t="s">
        <v>426</v>
      </c>
      <c r="C423" s="5" t="s">
        <v>427</v>
      </c>
      <c r="D423" s="5" t="s">
        <v>2306</v>
      </c>
      <c r="E423" s="5">
        <v>34.857742000000002</v>
      </c>
      <c r="F423" s="5">
        <v>-97.773223000000002</v>
      </c>
      <c r="P423" s="5">
        <v>2013</v>
      </c>
      <c r="Q423" s="5">
        <v>2013</v>
      </c>
      <c r="W423" s="5" t="s">
        <v>44</v>
      </c>
      <c r="AI423" s="5" t="s">
        <v>2283</v>
      </c>
      <c r="AJ423" s="5" t="s">
        <v>2284</v>
      </c>
    </row>
    <row r="424" spans="1:36" x14ac:dyDescent="0.25">
      <c r="A424" s="5" t="s">
        <v>51</v>
      </c>
      <c r="B424" s="5" t="s">
        <v>426</v>
      </c>
      <c r="C424" s="5" t="s">
        <v>427</v>
      </c>
      <c r="D424" s="5" t="s">
        <v>2306</v>
      </c>
      <c r="E424" s="5">
        <v>34.872377999999998</v>
      </c>
      <c r="F424" s="5">
        <v>-97.781019000000001</v>
      </c>
      <c r="P424" s="5">
        <v>2015</v>
      </c>
      <c r="Q424" s="5">
        <v>2015</v>
      </c>
      <c r="W424" s="5" t="s">
        <v>44</v>
      </c>
      <c r="AI424" s="5" t="s">
        <v>2283</v>
      </c>
      <c r="AJ424" s="5" t="s">
        <v>2284</v>
      </c>
    </row>
    <row r="425" spans="1:36" x14ac:dyDescent="0.25">
      <c r="A425" s="5" t="s">
        <v>51</v>
      </c>
      <c r="B425" s="5" t="s">
        <v>426</v>
      </c>
      <c r="C425" s="5" t="s">
        <v>427</v>
      </c>
      <c r="D425" s="5" t="s">
        <v>2306</v>
      </c>
      <c r="E425" s="5">
        <v>34.854517000000001</v>
      </c>
      <c r="F425" s="5">
        <v>-97.751954999999995</v>
      </c>
      <c r="P425" s="5">
        <v>2015</v>
      </c>
      <c r="Q425" s="5">
        <v>2015</v>
      </c>
      <c r="W425" s="5" t="s">
        <v>44</v>
      </c>
      <c r="AI425" s="5" t="s">
        <v>2283</v>
      </c>
      <c r="AJ425" s="5" t="s">
        <v>2284</v>
      </c>
    </row>
    <row r="426" spans="1:36" x14ac:dyDescent="0.25">
      <c r="A426" s="5" t="s">
        <v>51</v>
      </c>
      <c r="B426" s="5" t="s">
        <v>426</v>
      </c>
      <c r="C426" s="5" t="s">
        <v>427</v>
      </c>
      <c r="D426" s="5" t="s">
        <v>2306</v>
      </c>
      <c r="E426" s="5">
        <v>34.863903999999998</v>
      </c>
      <c r="F426" s="5">
        <v>-97.752703999999994</v>
      </c>
      <c r="P426" s="5">
        <v>2011</v>
      </c>
      <c r="Q426" s="5">
        <v>2011</v>
      </c>
      <c r="W426" s="5" t="s">
        <v>44</v>
      </c>
      <c r="AI426" s="5" t="s">
        <v>2283</v>
      </c>
      <c r="AJ426" s="5" t="s">
        <v>2284</v>
      </c>
    </row>
    <row r="427" spans="1:36" ht="15" customHeight="1" x14ac:dyDescent="0.25">
      <c r="A427" s="5" t="s">
        <v>51</v>
      </c>
      <c r="B427" s="5" t="s">
        <v>426</v>
      </c>
      <c r="C427" s="5" t="s">
        <v>427</v>
      </c>
      <c r="D427" s="5" t="s">
        <v>2306</v>
      </c>
      <c r="E427" s="5">
        <v>34.879911999999997</v>
      </c>
      <c r="F427" s="5">
        <v>-97.741792000000004</v>
      </c>
      <c r="P427" s="5">
        <v>2015</v>
      </c>
      <c r="Q427" s="5">
        <v>2015</v>
      </c>
      <c r="W427" s="5" t="s">
        <v>44</v>
      </c>
      <c r="AI427" s="5" t="s">
        <v>2283</v>
      </c>
      <c r="AJ427" s="5" t="s">
        <v>2284</v>
      </c>
    </row>
    <row r="428" spans="1:36" x14ac:dyDescent="0.25">
      <c r="A428" s="5" t="s">
        <v>51</v>
      </c>
      <c r="B428" s="5" t="s">
        <v>426</v>
      </c>
      <c r="C428" s="5" t="s">
        <v>427</v>
      </c>
      <c r="D428" s="5" t="s">
        <v>2306</v>
      </c>
      <c r="E428" s="5">
        <v>34.859591000000002</v>
      </c>
      <c r="F428" s="5">
        <v>-97.688508999999996</v>
      </c>
      <c r="P428" s="5">
        <v>2010</v>
      </c>
      <c r="Q428" s="5">
        <v>2010</v>
      </c>
      <c r="W428" s="5" t="s">
        <v>44</v>
      </c>
      <c r="AI428" s="5" t="s">
        <v>2283</v>
      </c>
      <c r="AJ428" s="5" t="s">
        <v>2284</v>
      </c>
    </row>
    <row r="429" spans="1:36" x14ac:dyDescent="0.25">
      <c r="A429" s="5" t="s">
        <v>51</v>
      </c>
      <c r="B429" s="5" t="s">
        <v>426</v>
      </c>
      <c r="C429" s="5" t="s">
        <v>427</v>
      </c>
      <c r="D429" s="5" t="s">
        <v>2306</v>
      </c>
      <c r="E429" s="5">
        <v>34.871532999999999</v>
      </c>
      <c r="F429" s="5">
        <v>-97.681257000000002</v>
      </c>
      <c r="P429" s="5">
        <v>2010</v>
      </c>
      <c r="Q429" s="5">
        <v>2010</v>
      </c>
      <c r="W429" s="5" t="s">
        <v>44</v>
      </c>
      <c r="AI429" s="5" t="s">
        <v>2283</v>
      </c>
      <c r="AJ429" s="5" t="s">
        <v>2284</v>
      </c>
    </row>
    <row r="430" spans="1:36" x14ac:dyDescent="0.25">
      <c r="A430" s="5" t="s">
        <v>51</v>
      </c>
      <c r="B430" s="5" t="s">
        <v>426</v>
      </c>
      <c r="C430" s="5" t="s">
        <v>427</v>
      </c>
      <c r="D430" s="5" t="s">
        <v>2306</v>
      </c>
      <c r="E430" s="5">
        <v>34.860793000000001</v>
      </c>
      <c r="F430" s="5">
        <v>-97.650159000000002</v>
      </c>
      <c r="P430" s="5">
        <v>2015</v>
      </c>
      <c r="Q430" s="5">
        <v>2015</v>
      </c>
      <c r="W430" s="5" t="s">
        <v>44</v>
      </c>
      <c r="AI430" s="5" t="s">
        <v>2283</v>
      </c>
      <c r="AJ430" s="5" t="s">
        <v>2284</v>
      </c>
    </row>
    <row r="431" spans="1:36" x14ac:dyDescent="0.25">
      <c r="A431" s="5" t="s">
        <v>51</v>
      </c>
      <c r="B431" s="5" t="s">
        <v>426</v>
      </c>
      <c r="C431" s="5" t="s">
        <v>427</v>
      </c>
      <c r="D431" s="5" t="s">
        <v>2306</v>
      </c>
      <c r="E431" s="5">
        <v>34.867261999999997</v>
      </c>
      <c r="F431" s="5">
        <v>-97.648634999999999</v>
      </c>
      <c r="P431" s="5">
        <v>2011</v>
      </c>
      <c r="Q431" s="5">
        <v>2011</v>
      </c>
      <c r="W431" s="5" t="s">
        <v>44</v>
      </c>
      <c r="AI431" s="5" t="s">
        <v>2283</v>
      </c>
      <c r="AJ431" s="5" t="s">
        <v>2284</v>
      </c>
    </row>
    <row r="432" spans="1:36" x14ac:dyDescent="0.25">
      <c r="A432" s="5" t="s">
        <v>51</v>
      </c>
      <c r="B432" s="5" t="s">
        <v>426</v>
      </c>
      <c r="C432" s="5" t="s">
        <v>427</v>
      </c>
      <c r="D432" s="5" t="s">
        <v>2306</v>
      </c>
      <c r="P432" s="5"/>
      <c r="W432" s="5" t="s">
        <v>44</v>
      </c>
      <c r="AI432" s="5" t="s">
        <v>2283</v>
      </c>
      <c r="AJ432" s="5" t="s">
        <v>2284</v>
      </c>
    </row>
    <row r="433" spans="1:36" x14ac:dyDescent="0.25">
      <c r="A433" s="5" t="s">
        <v>51</v>
      </c>
      <c r="B433" s="5" t="s">
        <v>426</v>
      </c>
      <c r="C433" s="5" t="s">
        <v>427</v>
      </c>
      <c r="D433" s="5" t="s">
        <v>2306</v>
      </c>
      <c r="P433" s="5"/>
      <c r="W433" s="5" t="s">
        <v>44</v>
      </c>
      <c r="AI433" s="5" t="s">
        <v>2283</v>
      </c>
      <c r="AJ433" s="5" t="s">
        <v>2284</v>
      </c>
    </row>
    <row r="434" spans="1:36" ht="15" customHeight="1" x14ac:dyDescent="0.25">
      <c r="A434" s="5" t="s">
        <v>51</v>
      </c>
      <c r="B434" s="5" t="s">
        <v>426</v>
      </c>
      <c r="C434" s="5" t="s">
        <v>427</v>
      </c>
      <c r="D434" s="5" t="s">
        <v>2306</v>
      </c>
      <c r="P434" s="5"/>
      <c r="W434" s="5" t="s">
        <v>44</v>
      </c>
      <c r="AI434" s="5" t="s">
        <v>2283</v>
      </c>
      <c r="AJ434" s="5" t="s">
        <v>2284</v>
      </c>
    </row>
    <row r="435" spans="1:36" x14ac:dyDescent="0.25">
      <c r="A435" s="5" t="s">
        <v>51</v>
      </c>
      <c r="B435" s="5" t="s">
        <v>426</v>
      </c>
      <c r="C435" s="5" t="s">
        <v>427</v>
      </c>
      <c r="D435" s="5" t="s">
        <v>2306</v>
      </c>
      <c r="P435" s="5"/>
      <c r="W435" s="5" t="s">
        <v>44</v>
      </c>
      <c r="AI435" s="5" t="s">
        <v>2283</v>
      </c>
      <c r="AJ435" s="5" t="s">
        <v>2284</v>
      </c>
    </row>
    <row r="436" spans="1:36" ht="15" customHeight="1" x14ac:dyDescent="0.25">
      <c r="A436" s="5" t="s">
        <v>51</v>
      </c>
      <c r="B436" s="5" t="s">
        <v>426</v>
      </c>
      <c r="C436" s="5" t="s">
        <v>427</v>
      </c>
      <c r="D436" s="5" t="s">
        <v>2306</v>
      </c>
      <c r="P436" s="5"/>
      <c r="W436" s="5" t="s">
        <v>44</v>
      </c>
      <c r="AI436" s="5" t="s">
        <v>2283</v>
      </c>
      <c r="AJ436" s="5" t="s">
        <v>2284</v>
      </c>
    </row>
    <row r="437" spans="1:36" x14ac:dyDescent="0.25">
      <c r="A437" s="5" t="s">
        <v>51</v>
      </c>
      <c r="B437" s="5" t="s">
        <v>426</v>
      </c>
      <c r="C437" s="5" t="s">
        <v>427</v>
      </c>
      <c r="D437" s="5" t="s">
        <v>2306</v>
      </c>
      <c r="P437" s="5"/>
      <c r="W437" s="5" t="s">
        <v>44</v>
      </c>
      <c r="AI437" s="5" t="s">
        <v>2283</v>
      </c>
      <c r="AJ437" s="5" t="s">
        <v>2284</v>
      </c>
    </row>
    <row r="438" spans="1:36" x14ac:dyDescent="0.25">
      <c r="A438" s="5" t="s">
        <v>51</v>
      </c>
      <c r="B438" s="5" t="s">
        <v>426</v>
      </c>
      <c r="C438" s="5" t="s">
        <v>427</v>
      </c>
      <c r="D438" s="5" t="s">
        <v>2306</v>
      </c>
      <c r="P438" s="5"/>
      <c r="W438" s="5" t="s">
        <v>44</v>
      </c>
      <c r="AI438" s="5" t="s">
        <v>2283</v>
      </c>
      <c r="AJ438" s="5" t="s">
        <v>2284</v>
      </c>
    </row>
    <row r="439" spans="1:36" x14ac:dyDescent="0.25">
      <c r="A439" s="5" t="s">
        <v>51</v>
      </c>
      <c r="B439" s="5" t="s">
        <v>426</v>
      </c>
      <c r="C439" s="5" t="s">
        <v>427</v>
      </c>
      <c r="D439" s="5" t="s">
        <v>2306</v>
      </c>
      <c r="P439" s="5"/>
      <c r="W439" s="5" t="s">
        <v>44</v>
      </c>
      <c r="AI439" s="5" t="s">
        <v>2283</v>
      </c>
      <c r="AJ439" s="5" t="s">
        <v>2284</v>
      </c>
    </row>
    <row r="440" spans="1:36" ht="15" customHeight="1" x14ac:dyDescent="0.25">
      <c r="A440" s="5" t="s">
        <v>51</v>
      </c>
      <c r="B440" s="5" t="s">
        <v>426</v>
      </c>
      <c r="C440" s="5" t="s">
        <v>427</v>
      </c>
      <c r="D440" s="5" t="s">
        <v>2306</v>
      </c>
      <c r="P440" s="5"/>
      <c r="W440" s="5" t="s">
        <v>44</v>
      </c>
      <c r="AI440" s="5" t="s">
        <v>2283</v>
      </c>
      <c r="AJ440" s="5" t="s">
        <v>2284</v>
      </c>
    </row>
    <row r="441" spans="1:36" ht="15" customHeight="1" x14ac:dyDescent="0.25">
      <c r="A441" s="5" t="s">
        <v>51</v>
      </c>
      <c r="B441" s="5" t="s">
        <v>426</v>
      </c>
      <c r="C441" s="5" t="s">
        <v>427</v>
      </c>
      <c r="D441" s="5" t="s">
        <v>2306</v>
      </c>
      <c r="P441" s="5"/>
      <c r="W441" s="5" t="s">
        <v>44</v>
      </c>
      <c r="AI441" s="5" t="s">
        <v>2283</v>
      </c>
      <c r="AJ441" s="5" t="s">
        <v>2284</v>
      </c>
    </row>
    <row r="442" spans="1:36" x14ac:dyDescent="0.25">
      <c r="A442" s="5" t="s">
        <v>51</v>
      </c>
      <c r="B442" s="5" t="s">
        <v>426</v>
      </c>
      <c r="C442" s="5" t="s">
        <v>427</v>
      </c>
      <c r="D442" s="5" t="s">
        <v>2293</v>
      </c>
      <c r="E442" s="5">
        <v>36.231878999999999</v>
      </c>
      <c r="F442" s="5">
        <v>-99.161823999999996</v>
      </c>
      <c r="P442" s="5">
        <v>2016</v>
      </c>
      <c r="Q442" s="5">
        <v>2016</v>
      </c>
      <c r="W442" s="5" t="s">
        <v>44</v>
      </c>
      <c r="AI442" s="5" t="s">
        <v>2283</v>
      </c>
      <c r="AJ442" s="5" t="s">
        <v>2284</v>
      </c>
    </row>
    <row r="443" spans="1:36" x14ac:dyDescent="0.25">
      <c r="A443" s="5" t="s">
        <v>51</v>
      </c>
      <c r="B443" s="5" t="s">
        <v>426</v>
      </c>
      <c r="C443" s="5" t="s">
        <v>427</v>
      </c>
      <c r="D443" s="5" t="s">
        <v>2293</v>
      </c>
      <c r="E443" s="5">
        <v>36.197845000000001</v>
      </c>
      <c r="F443" s="5">
        <v>-99.178276999999994</v>
      </c>
      <c r="P443" s="5">
        <v>2016</v>
      </c>
      <c r="Q443" s="5">
        <v>2016</v>
      </c>
      <c r="W443" s="5" t="s">
        <v>44</v>
      </c>
      <c r="AI443" s="5" t="s">
        <v>2283</v>
      </c>
      <c r="AJ443" s="5" t="s">
        <v>2284</v>
      </c>
    </row>
    <row r="444" spans="1:36" ht="15" customHeight="1" x14ac:dyDescent="0.25">
      <c r="A444" s="5" t="s">
        <v>51</v>
      </c>
      <c r="B444" s="5" t="s">
        <v>426</v>
      </c>
      <c r="C444" s="5" t="s">
        <v>427</v>
      </c>
      <c r="D444" s="5" t="s">
        <v>2307</v>
      </c>
      <c r="E444" s="5">
        <v>34.318700999999997</v>
      </c>
      <c r="F444" s="5">
        <v>-97.614395999999999</v>
      </c>
      <c r="P444" s="5">
        <v>2014</v>
      </c>
      <c r="Q444" s="5">
        <v>2014</v>
      </c>
      <c r="W444" s="5" t="s">
        <v>44</v>
      </c>
      <c r="AI444" s="5" t="s">
        <v>2283</v>
      </c>
      <c r="AJ444" s="5" t="s">
        <v>2284</v>
      </c>
    </row>
    <row r="445" spans="1:36" x14ac:dyDescent="0.25">
      <c r="A445" s="5" t="s">
        <v>51</v>
      </c>
      <c r="B445" s="5" t="s">
        <v>426</v>
      </c>
      <c r="C445" s="5" t="s">
        <v>427</v>
      </c>
      <c r="D445" s="5" t="s">
        <v>2307</v>
      </c>
      <c r="E445" s="5">
        <v>34.290978000000003</v>
      </c>
      <c r="F445" s="5">
        <v>-97.564888999999994</v>
      </c>
      <c r="P445" s="5">
        <v>2014</v>
      </c>
      <c r="Q445" s="5">
        <v>2014</v>
      </c>
      <c r="W445" s="5" t="s">
        <v>44</v>
      </c>
      <c r="AI445" s="5" t="s">
        <v>2283</v>
      </c>
      <c r="AJ445" s="5" t="s">
        <v>2284</v>
      </c>
    </row>
    <row r="446" spans="1:36" x14ac:dyDescent="0.25">
      <c r="A446" s="5" t="s">
        <v>51</v>
      </c>
      <c r="B446" s="5" t="s">
        <v>426</v>
      </c>
      <c r="C446" s="5" t="s">
        <v>427</v>
      </c>
      <c r="D446" s="5" t="s">
        <v>2307</v>
      </c>
      <c r="E446" s="5">
        <v>34.352882000000001</v>
      </c>
      <c r="F446" s="5">
        <v>-97.534156999999993</v>
      </c>
      <c r="P446" s="5">
        <v>2013</v>
      </c>
      <c r="Q446" s="5">
        <v>2013</v>
      </c>
      <c r="W446" s="5" t="s">
        <v>44</v>
      </c>
      <c r="AI446" s="5" t="s">
        <v>2283</v>
      </c>
      <c r="AJ446" s="5" t="s">
        <v>2284</v>
      </c>
    </row>
    <row r="447" spans="1:36" x14ac:dyDescent="0.25">
      <c r="A447" s="5" t="s">
        <v>51</v>
      </c>
      <c r="B447" s="5" t="s">
        <v>426</v>
      </c>
      <c r="C447" s="5" t="s">
        <v>427</v>
      </c>
      <c r="D447" s="5" t="s">
        <v>2307</v>
      </c>
      <c r="E447" s="5">
        <v>34.275176999999999</v>
      </c>
      <c r="F447" s="5">
        <v>-97.526591999999994</v>
      </c>
      <c r="P447" s="5">
        <v>2014</v>
      </c>
      <c r="Q447" s="5">
        <v>2014</v>
      </c>
      <c r="W447" s="5" t="s">
        <v>44</v>
      </c>
      <c r="AI447" s="5" t="s">
        <v>2283</v>
      </c>
      <c r="AJ447" s="5" t="s">
        <v>2284</v>
      </c>
    </row>
    <row r="448" spans="1:36" x14ac:dyDescent="0.25">
      <c r="A448" s="5" t="s">
        <v>51</v>
      </c>
      <c r="B448" s="5" t="s">
        <v>426</v>
      </c>
      <c r="C448" s="5" t="s">
        <v>427</v>
      </c>
      <c r="D448" s="5" t="s">
        <v>2307</v>
      </c>
      <c r="E448" s="5">
        <v>34.265388999999999</v>
      </c>
      <c r="F448" s="5">
        <v>-97.524179000000004</v>
      </c>
      <c r="P448" s="5">
        <v>2013</v>
      </c>
      <c r="Q448" s="5">
        <v>2013</v>
      </c>
      <c r="W448" s="5" t="s">
        <v>44</v>
      </c>
      <c r="AI448" s="5" t="s">
        <v>2283</v>
      </c>
      <c r="AJ448" s="5" t="s">
        <v>2284</v>
      </c>
    </row>
    <row r="449" spans="1:36" x14ac:dyDescent="0.25">
      <c r="A449" s="5" t="s">
        <v>51</v>
      </c>
      <c r="B449" s="5" t="s">
        <v>426</v>
      </c>
      <c r="C449" s="5" t="s">
        <v>427</v>
      </c>
      <c r="D449" s="5" t="s">
        <v>2307</v>
      </c>
      <c r="P449" s="5"/>
      <c r="W449" s="5" t="s">
        <v>44</v>
      </c>
      <c r="AI449" s="5" t="s">
        <v>2283</v>
      </c>
      <c r="AJ449" s="5" t="s">
        <v>2284</v>
      </c>
    </row>
    <row r="450" spans="1:36" x14ac:dyDescent="0.25">
      <c r="A450" s="5" t="s">
        <v>51</v>
      </c>
      <c r="B450" s="5" t="s">
        <v>426</v>
      </c>
      <c r="C450" s="5" t="s">
        <v>427</v>
      </c>
      <c r="D450" s="5" t="s">
        <v>2307</v>
      </c>
      <c r="P450" s="5"/>
      <c r="W450" s="5" t="s">
        <v>44</v>
      </c>
      <c r="AI450" s="5" t="s">
        <v>2283</v>
      </c>
      <c r="AJ450" s="5" t="s">
        <v>2284</v>
      </c>
    </row>
    <row r="451" spans="1:36" x14ac:dyDescent="0.25">
      <c r="A451" s="5" t="s">
        <v>51</v>
      </c>
      <c r="B451" s="5" t="s">
        <v>426</v>
      </c>
      <c r="C451" s="5" t="s">
        <v>427</v>
      </c>
      <c r="D451" s="5" t="s">
        <v>2307</v>
      </c>
      <c r="P451" s="5"/>
      <c r="W451" s="5" t="s">
        <v>44</v>
      </c>
      <c r="AI451" s="5" t="s">
        <v>2283</v>
      </c>
      <c r="AJ451" s="5" t="s">
        <v>2284</v>
      </c>
    </row>
    <row r="452" spans="1:36" x14ac:dyDescent="0.25">
      <c r="A452" s="5" t="s">
        <v>51</v>
      </c>
      <c r="B452" s="5" t="s">
        <v>426</v>
      </c>
      <c r="C452" s="5" t="s">
        <v>427</v>
      </c>
      <c r="D452" s="5" t="s">
        <v>2307</v>
      </c>
      <c r="P452" s="5"/>
      <c r="W452" s="5" t="s">
        <v>44</v>
      </c>
      <c r="AI452" s="5" t="s">
        <v>2283</v>
      </c>
      <c r="AJ452" s="5" t="s">
        <v>2284</v>
      </c>
    </row>
    <row r="453" spans="1:36" x14ac:dyDescent="0.25">
      <c r="A453" s="5" t="s">
        <v>51</v>
      </c>
      <c r="B453" s="5" t="s">
        <v>426</v>
      </c>
      <c r="C453" s="5" t="s">
        <v>427</v>
      </c>
      <c r="D453" s="5" t="s">
        <v>2307</v>
      </c>
      <c r="P453" s="5"/>
      <c r="W453" s="5" t="s">
        <v>44</v>
      </c>
      <c r="AI453" s="5" t="s">
        <v>2283</v>
      </c>
      <c r="AJ453" s="5" t="s">
        <v>2284</v>
      </c>
    </row>
    <row r="454" spans="1:36" ht="15" customHeight="1" x14ac:dyDescent="0.25">
      <c r="A454" s="5" t="s">
        <v>51</v>
      </c>
      <c r="B454" s="5" t="s">
        <v>426</v>
      </c>
      <c r="C454" s="5" t="s">
        <v>427</v>
      </c>
      <c r="D454" s="5" t="s">
        <v>2307</v>
      </c>
      <c r="P454" s="5"/>
      <c r="W454" s="5" t="s">
        <v>44</v>
      </c>
      <c r="AI454" s="5" t="s">
        <v>2283</v>
      </c>
      <c r="AJ454" s="5" t="s">
        <v>2284</v>
      </c>
    </row>
    <row r="455" spans="1:36" x14ac:dyDescent="0.25">
      <c r="A455" s="5" t="s">
        <v>51</v>
      </c>
      <c r="B455" s="5" t="s">
        <v>426</v>
      </c>
      <c r="C455" s="5" t="s">
        <v>427</v>
      </c>
      <c r="D455" s="5" t="s">
        <v>2314</v>
      </c>
      <c r="E455" s="5">
        <v>34.551783999999998</v>
      </c>
      <c r="F455" s="5">
        <v>-97.441564</v>
      </c>
      <c r="P455" s="5"/>
      <c r="W455" s="5" t="s">
        <v>44</v>
      </c>
      <c r="AI455" s="5" t="s">
        <v>2283</v>
      </c>
      <c r="AJ455" s="5" t="s">
        <v>2284</v>
      </c>
    </row>
    <row r="456" spans="1:36" x14ac:dyDescent="0.25">
      <c r="A456" s="5" t="s">
        <v>51</v>
      </c>
      <c r="B456" s="5" t="s">
        <v>426</v>
      </c>
      <c r="C456" s="5" t="s">
        <v>427</v>
      </c>
      <c r="D456" s="5" t="s">
        <v>2314</v>
      </c>
      <c r="E456" s="5">
        <v>34.605010999999998</v>
      </c>
      <c r="F456" s="5">
        <v>-97.371004999999997</v>
      </c>
      <c r="P456" s="5"/>
      <c r="W456" s="5" t="s">
        <v>44</v>
      </c>
      <c r="AI456" s="5" t="s">
        <v>2283</v>
      </c>
      <c r="AJ456" s="5" t="s">
        <v>2284</v>
      </c>
    </row>
    <row r="457" spans="1:36" x14ac:dyDescent="0.25">
      <c r="A457" s="5" t="s">
        <v>51</v>
      </c>
      <c r="B457" s="5" t="s">
        <v>426</v>
      </c>
      <c r="C457" s="5" t="s">
        <v>427</v>
      </c>
      <c r="D457" s="5" t="s">
        <v>2314</v>
      </c>
      <c r="E457" s="5">
        <v>34.712800999999999</v>
      </c>
      <c r="F457" s="5">
        <v>-97.439317000000003</v>
      </c>
      <c r="P457" s="5">
        <v>2011</v>
      </c>
      <c r="Q457" s="5">
        <v>2011</v>
      </c>
      <c r="W457" s="5" t="s">
        <v>44</v>
      </c>
      <c r="AI457" s="5" t="s">
        <v>2283</v>
      </c>
      <c r="AJ457" s="5" t="s">
        <v>2284</v>
      </c>
    </row>
    <row r="458" spans="1:36" x14ac:dyDescent="0.25">
      <c r="A458" s="5" t="s">
        <v>51</v>
      </c>
      <c r="B458" s="5" t="s">
        <v>426</v>
      </c>
      <c r="C458" s="5" t="s">
        <v>427</v>
      </c>
      <c r="D458" s="5" t="s">
        <v>2314</v>
      </c>
      <c r="E458" s="5">
        <v>34.731034999999999</v>
      </c>
      <c r="F458" s="5">
        <v>-97.365167</v>
      </c>
      <c r="P458" s="5"/>
      <c r="W458" s="5" t="s">
        <v>44</v>
      </c>
      <c r="AI458" s="5" t="s">
        <v>2283</v>
      </c>
      <c r="AJ458" s="5" t="s">
        <v>2284</v>
      </c>
    </row>
    <row r="459" spans="1:36" x14ac:dyDescent="0.25">
      <c r="A459" s="5" t="s">
        <v>51</v>
      </c>
      <c r="B459" s="5" t="s">
        <v>426</v>
      </c>
      <c r="C459" s="5" t="s">
        <v>427</v>
      </c>
      <c r="D459" s="5" t="s">
        <v>2314</v>
      </c>
      <c r="E459" s="5">
        <v>34.722839</v>
      </c>
      <c r="F459" s="5">
        <v>-97.353277000000006</v>
      </c>
      <c r="P459" s="5">
        <v>2010</v>
      </c>
      <c r="Q459" s="5">
        <v>2010</v>
      </c>
      <c r="W459" s="5" t="s">
        <v>44</v>
      </c>
      <c r="AI459" s="5" t="s">
        <v>2283</v>
      </c>
      <c r="AJ459" s="5" t="s">
        <v>2284</v>
      </c>
    </row>
    <row r="460" spans="1:36" x14ac:dyDescent="0.25">
      <c r="A460" s="5" t="s">
        <v>51</v>
      </c>
      <c r="B460" s="5" t="s">
        <v>426</v>
      </c>
      <c r="C460" s="5" t="s">
        <v>427</v>
      </c>
      <c r="D460" s="5" t="s">
        <v>2314</v>
      </c>
      <c r="E460" s="5">
        <v>34.725085</v>
      </c>
      <c r="F460" s="5">
        <v>-97.352080999999998</v>
      </c>
      <c r="P460" s="5">
        <v>2010</v>
      </c>
      <c r="Q460" s="5">
        <v>2010</v>
      </c>
      <c r="W460" s="5" t="s">
        <v>44</v>
      </c>
      <c r="AI460" s="5" t="s">
        <v>2283</v>
      </c>
      <c r="AJ460" s="5" t="s">
        <v>2284</v>
      </c>
    </row>
    <row r="461" spans="1:36" ht="15" customHeight="1" x14ac:dyDescent="0.25">
      <c r="A461" s="5" t="s">
        <v>51</v>
      </c>
      <c r="B461" s="5" t="s">
        <v>426</v>
      </c>
      <c r="C461" s="5" t="s">
        <v>427</v>
      </c>
      <c r="D461" s="5" t="s">
        <v>2314</v>
      </c>
      <c r="E461" s="5">
        <v>34.723782999999997</v>
      </c>
      <c r="F461" s="5">
        <v>-97.351439999999997</v>
      </c>
      <c r="P461" s="5">
        <v>2011</v>
      </c>
      <c r="Q461" s="5">
        <v>2011</v>
      </c>
      <c r="W461" s="5" t="s">
        <v>44</v>
      </c>
      <c r="AI461" s="5" t="s">
        <v>2283</v>
      </c>
      <c r="AJ461" s="5" t="s">
        <v>2284</v>
      </c>
    </row>
    <row r="462" spans="1:36" ht="15" customHeight="1" x14ac:dyDescent="0.25">
      <c r="A462" s="5" t="s">
        <v>51</v>
      </c>
      <c r="B462" s="5" t="s">
        <v>426</v>
      </c>
      <c r="C462" s="5" t="s">
        <v>427</v>
      </c>
      <c r="D462" s="5" t="s">
        <v>2314</v>
      </c>
      <c r="E462" s="5">
        <v>34.723224999999999</v>
      </c>
      <c r="F462" s="5">
        <v>-97.350217999999998</v>
      </c>
      <c r="P462" s="5">
        <v>2010</v>
      </c>
      <c r="Q462" s="5">
        <v>2010</v>
      </c>
      <c r="W462" s="5" t="s">
        <v>44</v>
      </c>
      <c r="AI462" s="5" t="s">
        <v>2283</v>
      </c>
      <c r="AJ462" s="5" t="s">
        <v>2284</v>
      </c>
    </row>
    <row r="463" spans="1:36" ht="15" customHeight="1" x14ac:dyDescent="0.25">
      <c r="A463" s="5" t="s">
        <v>51</v>
      </c>
      <c r="B463" s="5" t="s">
        <v>426</v>
      </c>
      <c r="C463" s="5" t="s">
        <v>427</v>
      </c>
      <c r="D463" s="5" t="s">
        <v>2314</v>
      </c>
      <c r="E463" s="5">
        <v>34.725408000000002</v>
      </c>
      <c r="F463" s="5">
        <v>-97.327954000000005</v>
      </c>
      <c r="P463" s="5">
        <v>2011</v>
      </c>
      <c r="Q463" s="5">
        <v>2011</v>
      </c>
      <c r="W463" s="5" t="s">
        <v>44</v>
      </c>
      <c r="AI463" s="5" t="s">
        <v>2283</v>
      </c>
      <c r="AJ463" s="5" t="s">
        <v>2284</v>
      </c>
    </row>
    <row r="464" spans="1:36" ht="15" customHeight="1" x14ac:dyDescent="0.25">
      <c r="A464" s="5" t="s">
        <v>51</v>
      </c>
      <c r="B464" s="5" t="s">
        <v>426</v>
      </c>
      <c r="C464" s="5" t="s">
        <v>427</v>
      </c>
      <c r="D464" s="5" t="s">
        <v>2314</v>
      </c>
      <c r="E464" s="5">
        <v>34.745908999999997</v>
      </c>
      <c r="F464" s="5">
        <v>-97.335301999999999</v>
      </c>
      <c r="P464" s="5">
        <v>2010</v>
      </c>
      <c r="Q464" s="5">
        <v>2010</v>
      </c>
      <c r="W464" s="5" t="s">
        <v>44</v>
      </c>
      <c r="AI464" s="5" t="s">
        <v>2283</v>
      </c>
      <c r="AJ464" s="5" t="s">
        <v>2284</v>
      </c>
    </row>
    <row r="465" spans="1:36" ht="15" customHeight="1" x14ac:dyDescent="0.25">
      <c r="A465" s="5" t="s">
        <v>51</v>
      </c>
      <c r="B465" s="5" t="s">
        <v>426</v>
      </c>
      <c r="C465" s="5" t="s">
        <v>427</v>
      </c>
      <c r="D465" s="5" t="s">
        <v>2314</v>
      </c>
      <c r="E465" s="5">
        <v>34.726922000000002</v>
      </c>
      <c r="F465" s="5">
        <v>-97.303528</v>
      </c>
      <c r="P465" s="5">
        <v>2010</v>
      </c>
      <c r="Q465" s="5">
        <v>2010</v>
      </c>
      <c r="W465" s="5" t="s">
        <v>44</v>
      </c>
      <c r="AI465" s="5" t="s">
        <v>2283</v>
      </c>
      <c r="AJ465" s="5" t="s">
        <v>2284</v>
      </c>
    </row>
    <row r="466" spans="1:36" x14ac:dyDescent="0.25">
      <c r="A466" s="5" t="s">
        <v>51</v>
      </c>
      <c r="B466" s="5" t="s">
        <v>426</v>
      </c>
      <c r="C466" s="5" t="s">
        <v>427</v>
      </c>
      <c r="D466" s="5" t="s">
        <v>2314</v>
      </c>
      <c r="P466" s="5"/>
      <c r="W466" s="5" t="s">
        <v>44</v>
      </c>
      <c r="AI466" s="5" t="s">
        <v>2283</v>
      </c>
      <c r="AJ466" s="5" t="s">
        <v>2284</v>
      </c>
    </row>
    <row r="467" spans="1:36" x14ac:dyDescent="0.25">
      <c r="A467" s="5" t="s">
        <v>51</v>
      </c>
      <c r="B467" s="5" t="s">
        <v>426</v>
      </c>
      <c r="C467" s="5" t="s">
        <v>427</v>
      </c>
      <c r="D467" s="5" t="s">
        <v>2314</v>
      </c>
      <c r="P467" s="5"/>
      <c r="W467" s="5" t="s">
        <v>44</v>
      </c>
      <c r="AI467" s="5" t="s">
        <v>2283</v>
      </c>
      <c r="AJ467" s="5" t="s">
        <v>2284</v>
      </c>
    </row>
    <row r="468" spans="1:36" x14ac:dyDescent="0.25">
      <c r="A468" s="5" t="s">
        <v>51</v>
      </c>
      <c r="B468" s="5" t="s">
        <v>426</v>
      </c>
      <c r="C468" s="5" t="s">
        <v>427</v>
      </c>
      <c r="D468" s="5" t="s">
        <v>2299</v>
      </c>
      <c r="E468" s="5">
        <v>34.213307</v>
      </c>
      <c r="F468" s="5">
        <v>-96.916089999999997</v>
      </c>
      <c r="P468" s="5">
        <v>2013</v>
      </c>
      <c r="Q468" s="5">
        <v>2013</v>
      </c>
      <c r="W468" s="5" t="s">
        <v>44</v>
      </c>
      <c r="AI468" s="5" t="s">
        <v>2283</v>
      </c>
      <c r="AJ468" s="5" t="s">
        <v>2284</v>
      </c>
    </row>
    <row r="469" spans="1:36" x14ac:dyDescent="0.25">
      <c r="A469" s="5" t="s">
        <v>51</v>
      </c>
      <c r="B469" s="5" t="s">
        <v>426</v>
      </c>
      <c r="C469" s="5" t="s">
        <v>427</v>
      </c>
      <c r="D469" s="5" t="s">
        <v>2299</v>
      </c>
      <c r="E469" s="5">
        <v>34.217007000000002</v>
      </c>
      <c r="F469" s="5">
        <v>-96.910499000000002</v>
      </c>
      <c r="P469" s="5">
        <v>2013</v>
      </c>
      <c r="Q469" s="5">
        <v>2013</v>
      </c>
      <c r="W469" s="5" t="s">
        <v>44</v>
      </c>
      <c r="AI469" s="5" t="s">
        <v>2283</v>
      </c>
      <c r="AJ469" s="5" t="s">
        <v>2284</v>
      </c>
    </row>
    <row r="470" spans="1:36" x14ac:dyDescent="0.25">
      <c r="A470" s="5" t="s">
        <v>51</v>
      </c>
      <c r="B470" s="5" t="s">
        <v>426</v>
      </c>
      <c r="C470" s="5" t="s">
        <v>427</v>
      </c>
      <c r="D470" s="5" t="s">
        <v>2299</v>
      </c>
      <c r="E470" s="5">
        <v>34.142907000000001</v>
      </c>
      <c r="F470" s="5">
        <v>-96.898257000000001</v>
      </c>
      <c r="P470" s="5">
        <v>2013</v>
      </c>
      <c r="Q470" s="5">
        <v>2013</v>
      </c>
      <c r="W470" s="5" t="s">
        <v>44</v>
      </c>
      <c r="AI470" s="5" t="s">
        <v>2283</v>
      </c>
      <c r="AJ470" s="5" t="s">
        <v>2284</v>
      </c>
    </row>
    <row r="471" spans="1:36" x14ac:dyDescent="0.25">
      <c r="A471" s="5" t="s">
        <v>51</v>
      </c>
      <c r="B471" s="5" t="s">
        <v>426</v>
      </c>
      <c r="C471" s="5" t="s">
        <v>427</v>
      </c>
      <c r="D471" s="5" t="s">
        <v>2299</v>
      </c>
      <c r="E471" s="5">
        <v>34.173667999999999</v>
      </c>
      <c r="F471" s="5">
        <v>-96.899462</v>
      </c>
      <c r="P471" s="5">
        <v>2013</v>
      </c>
      <c r="Q471" s="5">
        <v>2013</v>
      </c>
      <c r="W471" s="5" t="s">
        <v>44</v>
      </c>
      <c r="AI471" s="5" t="s">
        <v>2283</v>
      </c>
      <c r="AJ471" s="5" t="s">
        <v>2284</v>
      </c>
    </row>
    <row r="472" spans="1:36" x14ac:dyDescent="0.25">
      <c r="A472" s="5" t="s">
        <v>51</v>
      </c>
      <c r="B472" s="5" t="s">
        <v>426</v>
      </c>
      <c r="C472" s="5" t="s">
        <v>427</v>
      </c>
      <c r="D472" s="5" t="s">
        <v>2300</v>
      </c>
      <c r="E472" s="5">
        <v>34.466366000000001</v>
      </c>
      <c r="F472" s="5">
        <v>-97.760243000000003</v>
      </c>
      <c r="P472" s="5">
        <v>2014</v>
      </c>
      <c r="Q472" s="5">
        <v>2014</v>
      </c>
      <c r="W472" s="5" t="s">
        <v>44</v>
      </c>
      <c r="AI472" s="5" t="s">
        <v>2283</v>
      </c>
      <c r="AJ472" s="5" t="s">
        <v>2284</v>
      </c>
    </row>
    <row r="473" spans="1:36" x14ac:dyDescent="0.25">
      <c r="A473" s="5" t="s">
        <v>51</v>
      </c>
      <c r="B473" s="5" t="s">
        <v>426</v>
      </c>
      <c r="C473" s="5" t="s">
        <v>427</v>
      </c>
      <c r="D473" s="5" t="s">
        <v>2300</v>
      </c>
      <c r="E473" s="5">
        <v>34.536569</v>
      </c>
      <c r="F473" s="5">
        <v>-97.754155999999995</v>
      </c>
      <c r="P473" s="5">
        <v>2014</v>
      </c>
      <c r="Q473" s="5">
        <v>2014</v>
      </c>
      <c r="W473" s="5" t="s">
        <v>44</v>
      </c>
      <c r="AI473" s="5" t="s">
        <v>2283</v>
      </c>
      <c r="AJ473" s="5" t="s">
        <v>2284</v>
      </c>
    </row>
    <row r="474" spans="1:36" x14ac:dyDescent="0.25">
      <c r="A474" s="5" t="s">
        <v>51</v>
      </c>
      <c r="B474" s="5" t="s">
        <v>426</v>
      </c>
      <c r="C474" s="5" t="s">
        <v>427</v>
      </c>
      <c r="D474" s="5" t="s">
        <v>2300</v>
      </c>
      <c r="E474" s="5">
        <v>34.550103999999997</v>
      </c>
      <c r="F474" s="5">
        <v>-97.754039000000006</v>
      </c>
      <c r="P474" s="5">
        <v>2014</v>
      </c>
      <c r="Q474" s="5">
        <v>2014</v>
      </c>
      <c r="W474" s="5" t="s">
        <v>44</v>
      </c>
      <c r="AI474" s="5" t="s">
        <v>2283</v>
      </c>
      <c r="AJ474" s="5" t="s">
        <v>2284</v>
      </c>
    </row>
    <row r="475" spans="1:36" x14ac:dyDescent="0.25">
      <c r="A475" s="5" t="s">
        <v>51</v>
      </c>
      <c r="B475" s="5" t="s">
        <v>426</v>
      </c>
      <c r="C475" s="5" t="s">
        <v>427</v>
      </c>
      <c r="D475" s="5" t="s">
        <v>2300</v>
      </c>
      <c r="E475" s="5">
        <v>34.551459000000001</v>
      </c>
      <c r="F475" s="5">
        <v>-97.731945999999994</v>
      </c>
      <c r="P475" s="5">
        <v>2014</v>
      </c>
      <c r="Q475" s="5">
        <v>2014</v>
      </c>
      <c r="W475" s="5" t="s">
        <v>44</v>
      </c>
      <c r="AI475" s="5" t="s">
        <v>2283</v>
      </c>
      <c r="AJ475" s="5" t="s">
        <v>2284</v>
      </c>
    </row>
    <row r="476" spans="1:36" x14ac:dyDescent="0.25">
      <c r="A476" s="5" t="s">
        <v>51</v>
      </c>
      <c r="B476" s="5" t="s">
        <v>426</v>
      </c>
      <c r="C476" s="5" t="s">
        <v>427</v>
      </c>
      <c r="D476" s="5" t="s">
        <v>2300</v>
      </c>
      <c r="E476" s="5">
        <v>34.521841999999999</v>
      </c>
      <c r="F476" s="5">
        <v>-97.727671000000001</v>
      </c>
      <c r="P476" s="5">
        <v>2013</v>
      </c>
      <c r="Q476" s="5">
        <v>2013</v>
      </c>
      <c r="W476" s="5" t="s">
        <v>44</v>
      </c>
      <c r="AI476" s="5" t="s">
        <v>2283</v>
      </c>
      <c r="AJ476" s="5" t="s">
        <v>2284</v>
      </c>
    </row>
    <row r="477" spans="1:36" ht="15" customHeight="1" x14ac:dyDescent="0.25">
      <c r="A477" s="5" t="s">
        <v>51</v>
      </c>
      <c r="B477" s="5" t="s">
        <v>426</v>
      </c>
      <c r="C477" s="5" t="s">
        <v>427</v>
      </c>
      <c r="D477" s="5" t="s">
        <v>2300</v>
      </c>
      <c r="E477" s="5">
        <v>34.535566000000003</v>
      </c>
      <c r="F477" s="5">
        <v>-97.683567999999994</v>
      </c>
      <c r="P477" s="5">
        <v>2014</v>
      </c>
      <c r="Q477" s="5">
        <v>2014</v>
      </c>
      <c r="W477" s="5" t="s">
        <v>44</v>
      </c>
      <c r="AI477" s="5" t="s">
        <v>2283</v>
      </c>
      <c r="AJ477" s="5" t="s">
        <v>2284</v>
      </c>
    </row>
    <row r="478" spans="1:36" ht="15" customHeight="1" x14ac:dyDescent="0.25">
      <c r="A478" s="5" t="s">
        <v>51</v>
      </c>
      <c r="B478" s="5" t="s">
        <v>426</v>
      </c>
      <c r="C478" s="5" t="s">
        <v>427</v>
      </c>
      <c r="D478" s="5" t="s">
        <v>2300</v>
      </c>
      <c r="E478" s="5">
        <v>34.478110999999998</v>
      </c>
      <c r="F478" s="5">
        <v>-97.677869999999999</v>
      </c>
      <c r="P478" s="5">
        <v>2014</v>
      </c>
      <c r="Q478" s="5">
        <v>2014</v>
      </c>
      <c r="W478" s="5" t="s">
        <v>44</v>
      </c>
      <c r="AI478" s="5" t="s">
        <v>2283</v>
      </c>
      <c r="AJ478" s="5" t="s">
        <v>2284</v>
      </c>
    </row>
    <row r="479" spans="1:36" ht="15" customHeight="1" x14ac:dyDescent="0.25">
      <c r="A479" s="5" t="s">
        <v>51</v>
      </c>
      <c r="B479" s="5" t="s">
        <v>426</v>
      </c>
      <c r="C479" s="5" t="s">
        <v>427</v>
      </c>
      <c r="D479" s="5" t="s">
        <v>2300</v>
      </c>
      <c r="E479" s="5">
        <v>34.478656000000001</v>
      </c>
      <c r="F479" s="5">
        <v>-97.664261999999994</v>
      </c>
      <c r="P479" s="5">
        <v>2014</v>
      </c>
      <c r="Q479" s="5">
        <v>2014</v>
      </c>
      <c r="W479" s="5" t="s">
        <v>44</v>
      </c>
      <c r="AI479" s="5" t="s">
        <v>2283</v>
      </c>
      <c r="AJ479" s="5" t="s">
        <v>2284</v>
      </c>
    </row>
    <row r="480" spans="1:36" ht="15" customHeight="1" x14ac:dyDescent="0.25">
      <c r="A480" s="5" t="s">
        <v>51</v>
      </c>
      <c r="B480" s="5" t="s">
        <v>426</v>
      </c>
      <c r="C480" s="5" t="s">
        <v>427</v>
      </c>
      <c r="D480" s="5" t="s">
        <v>2300</v>
      </c>
      <c r="E480" s="5">
        <v>34.507700999999997</v>
      </c>
      <c r="F480" s="5">
        <v>-97.674655999999999</v>
      </c>
      <c r="P480" s="5">
        <v>2013</v>
      </c>
      <c r="Q480" s="5">
        <v>2013</v>
      </c>
      <c r="W480" s="5" t="s">
        <v>44</v>
      </c>
      <c r="AI480" s="5" t="s">
        <v>2283</v>
      </c>
      <c r="AJ480" s="5" t="s">
        <v>2284</v>
      </c>
    </row>
    <row r="481" spans="1:36" ht="15" customHeight="1" x14ac:dyDescent="0.25">
      <c r="A481" s="5" t="s">
        <v>51</v>
      </c>
      <c r="B481" s="5" t="s">
        <v>426</v>
      </c>
      <c r="C481" s="5" t="s">
        <v>427</v>
      </c>
      <c r="D481" s="5" t="s">
        <v>2300</v>
      </c>
      <c r="E481" s="5">
        <v>34.507897</v>
      </c>
      <c r="F481" s="5">
        <v>-97.667794999999998</v>
      </c>
      <c r="P481" s="5">
        <v>2014</v>
      </c>
      <c r="Q481" s="5">
        <v>2014</v>
      </c>
      <c r="W481" s="5" t="s">
        <v>44</v>
      </c>
      <c r="AI481" s="5" t="s">
        <v>2283</v>
      </c>
      <c r="AJ481" s="5" t="s">
        <v>2284</v>
      </c>
    </row>
    <row r="482" spans="1:36" ht="15" customHeight="1" x14ac:dyDescent="0.25">
      <c r="A482" s="5" t="s">
        <v>51</v>
      </c>
      <c r="B482" s="5" t="s">
        <v>426</v>
      </c>
      <c r="C482" s="5" t="s">
        <v>427</v>
      </c>
      <c r="D482" s="5" t="s">
        <v>2329</v>
      </c>
      <c r="E482" s="5">
        <v>35.042350999999996</v>
      </c>
      <c r="F482" s="5">
        <v>-96.211578000000003</v>
      </c>
      <c r="P482" s="5">
        <v>2015</v>
      </c>
      <c r="Q482" s="5">
        <v>2015</v>
      </c>
      <c r="W482" s="5" t="s">
        <v>44</v>
      </c>
      <c r="AI482" s="5" t="s">
        <v>2283</v>
      </c>
      <c r="AJ482" s="5" t="s">
        <v>2284</v>
      </c>
    </row>
    <row r="483" spans="1:36" ht="15" customHeight="1" x14ac:dyDescent="0.25">
      <c r="A483" s="5" t="s">
        <v>51</v>
      </c>
      <c r="B483" s="5" t="s">
        <v>426</v>
      </c>
      <c r="C483" s="5" t="s">
        <v>427</v>
      </c>
      <c r="D483" s="5" t="s">
        <v>2329</v>
      </c>
      <c r="E483" s="5">
        <v>35.042350999999996</v>
      </c>
      <c r="F483" s="5">
        <v>-96.211578000000003</v>
      </c>
      <c r="P483" s="5">
        <v>2015</v>
      </c>
      <c r="Q483" s="5">
        <v>2015</v>
      </c>
      <c r="W483" s="5" t="s">
        <v>44</v>
      </c>
      <c r="AI483" s="5" t="s">
        <v>2283</v>
      </c>
      <c r="AJ483" s="5" t="s">
        <v>2284</v>
      </c>
    </row>
    <row r="484" spans="1:36" ht="15" customHeight="1" x14ac:dyDescent="0.25">
      <c r="A484" s="5" t="s">
        <v>51</v>
      </c>
      <c r="B484" s="5" t="s">
        <v>426</v>
      </c>
      <c r="C484" s="5" t="s">
        <v>427</v>
      </c>
      <c r="D484" s="5" t="s">
        <v>2329</v>
      </c>
      <c r="E484" s="5">
        <v>35.042350999999996</v>
      </c>
      <c r="F484" s="5">
        <v>-96.211578000000003</v>
      </c>
      <c r="P484" s="5">
        <v>2015</v>
      </c>
      <c r="Q484" s="5">
        <v>2015</v>
      </c>
      <c r="W484" s="5" t="s">
        <v>44</v>
      </c>
      <c r="AI484" s="5" t="s">
        <v>2283</v>
      </c>
      <c r="AJ484" s="5" t="s">
        <v>2284</v>
      </c>
    </row>
    <row r="485" spans="1:36" ht="15" customHeight="1" x14ac:dyDescent="0.25">
      <c r="A485" s="5" t="s">
        <v>51</v>
      </c>
      <c r="B485" s="5" t="s">
        <v>426</v>
      </c>
      <c r="C485" s="5" t="s">
        <v>427</v>
      </c>
      <c r="D485" s="5" t="s">
        <v>2329</v>
      </c>
      <c r="E485" s="5">
        <v>35.042350999999996</v>
      </c>
      <c r="F485" s="5">
        <v>-96.211578000000003</v>
      </c>
      <c r="P485" s="5">
        <v>2015</v>
      </c>
      <c r="Q485" s="5">
        <v>2015</v>
      </c>
      <c r="W485" s="5" t="s">
        <v>44</v>
      </c>
      <c r="AI485" s="5" t="s">
        <v>2283</v>
      </c>
      <c r="AJ485" s="5" t="s">
        <v>2284</v>
      </c>
    </row>
    <row r="486" spans="1:36" ht="15" customHeight="1" x14ac:dyDescent="0.25">
      <c r="A486" s="5" t="s">
        <v>51</v>
      </c>
      <c r="B486" s="5" t="s">
        <v>426</v>
      </c>
      <c r="C486" s="5" t="s">
        <v>427</v>
      </c>
      <c r="D486" s="5" t="s">
        <v>2329</v>
      </c>
      <c r="E486" s="5">
        <v>35.100859999999997</v>
      </c>
      <c r="F486" s="5">
        <v>-96.178008000000005</v>
      </c>
      <c r="P486" s="5">
        <v>2015</v>
      </c>
      <c r="Q486" s="5">
        <v>2015</v>
      </c>
      <c r="W486" s="5" t="s">
        <v>44</v>
      </c>
      <c r="AI486" s="5" t="s">
        <v>2283</v>
      </c>
      <c r="AJ486" s="5" t="s">
        <v>2284</v>
      </c>
    </row>
    <row r="487" spans="1:36" ht="15" customHeight="1" x14ac:dyDescent="0.25">
      <c r="A487" s="5" t="s">
        <v>51</v>
      </c>
      <c r="B487" s="5" t="s">
        <v>426</v>
      </c>
      <c r="C487" s="5" t="s">
        <v>427</v>
      </c>
      <c r="D487" s="5" t="s">
        <v>2329</v>
      </c>
      <c r="E487" s="5">
        <v>35.100859999999997</v>
      </c>
      <c r="F487" s="5">
        <v>-96.178008000000005</v>
      </c>
      <c r="P487" s="5">
        <v>2015</v>
      </c>
      <c r="Q487" s="5">
        <v>2015</v>
      </c>
      <c r="W487" s="5" t="s">
        <v>44</v>
      </c>
      <c r="AI487" s="5" t="s">
        <v>2283</v>
      </c>
      <c r="AJ487" s="5" t="s">
        <v>2284</v>
      </c>
    </row>
    <row r="488" spans="1:36" ht="15" customHeight="1" x14ac:dyDescent="0.25">
      <c r="A488" s="5" t="s">
        <v>51</v>
      </c>
      <c r="B488" s="5" t="s">
        <v>426</v>
      </c>
      <c r="C488" s="5" t="s">
        <v>427</v>
      </c>
      <c r="D488" s="5" t="s">
        <v>2329</v>
      </c>
      <c r="E488" s="5">
        <v>35.100859999999997</v>
      </c>
      <c r="F488" s="5">
        <v>-96.178008000000005</v>
      </c>
      <c r="P488" s="5">
        <v>2015</v>
      </c>
      <c r="Q488" s="5">
        <v>2015</v>
      </c>
      <c r="W488" s="5" t="s">
        <v>44</v>
      </c>
      <c r="AI488" s="5" t="s">
        <v>2283</v>
      </c>
      <c r="AJ488" s="5" t="s">
        <v>2284</v>
      </c>
    </row>
    <row r="489" spans="1:36" ht="15" customHeight="1" x14ac:dyDescent="0.25">
      <c r="A489" s="5" t="s">
        <v>51</v>
      </c>
      <c r="B489" s="5" t="s">
        <v>426</v>
      </c>
      <c r="C489" s="5" t="s">
        <v>427</v>
      </c>
      <c r="D489" s="5" t="s">
        <v>2329</v>
      </c>
      <c r="E489" s="5">
        <v>35.100859999999997</v>
      </c>
      <c r="F489" s="5">
        <v>-96.178008000000005</v>
      </c>
      <c r="P489" s="5">
        <v>2015</v>
      </c>
      <c r="Q489" s="5">
        <v>2015</v>
      </c>
      <c r="W489" s="5" t="s">
        <v>44</v>
      </c>
      <c r="AI489" s="5" t="s">
        <v>2283</v>
      </c>
      <c r="AJ489" s="5" t="s">
        <v>2284</v>
      </c>
    </row>
    <row r="490" spans="1:36" ht="15" customHeight="1" x14ac:dyDescent="0.25">
      <c r="A490" s="5" t="s">
        <v>51</v>
      </c>
      <c r="B490" s="5" t="s">
        <v>426</v>
      </c>
      <c r="C490" s="5" t="s">
        <v>427</v>
      </c>
      <c r="D490" s="5" t="s">
        <v>2329</v>
      </c>
      <c r="E490" s="5">
        <v>35.073228</v>
      </c>
      <c r="F490" s="5">
        <v>-96.175713999999999</v>
      </c>
      <c r="P490" s="5">
        <v>2014</v>
      </c>
      <c r="Q490" s="5">
        <v>2014</v>
      </c>
      <c r="W490" s="5" t="s">
        <v>44</v>
      </c>
      <c r="AI490" s="5" t="s">
        <v>2283</v>
      </c>
      <c r="AJ490" s="5" t="s">
        <v>2284</v>
      </c>
    </row>
    <row r="491" spans="1:36" ht="15" customHeight="1" x14ac:dyDescent="0.25">
      <c r="A491" s="5" t="s">
        <v>51</v>
      </c>
      <c r="B491" s="5" t="s">
        <v>426</v>
      </c>
      <c r="C491" s="5" t="s">
        <v>427</v>
      </c>
      <c r="D491" s="5" t="s">
        <v>2329</v>
      </c>
      <c r="E491" s="5">
        <v>35.073228</v>
      </c>
      <c r="F491" s="5">
        <v>-96.175713999999999</v>
      </c>
      <c r="P491" s="5">
        <v>2014</v>
      </c>
      <c r="Q491" s="5">
        <v>2014</v>
      </c>
      <c r="W491" s="5" t="s">
        <v>44</v>
      </c>
      <c r="AI491" s="5" t="s">
        <v>2283</v>
      </c>
      <c r="AJ491" s="5" t="s">
        <v>2284</v>
      </c>
    </row>
    <row r="492" spans="1:36" ht="15" customHeight="1" x14ac:dyDescent="0.25">
      <c r="A492" s="5" t="s">
        <v>51</v>
      </c>
      <c r="B492" s="5" t="s">
        <v>426</v>
      </c>
      <c r="C492" s="5" t="s">
        <v>427</v>
      </c>
      <c r="D492" s="5" t="s">
        <v>2329</v>
      </c>
      <c r="E492" s="5">
        <v>35.100624000000003</v>
      </c>
      <c r="F492" s="5">
        <v>-96.145194000000004</v>
      </c>
      <c r="P492" s="5">
        <v>2016</v>
      </c>
      <c r="Q492" s="5">
        <v>2016</v>
      </c>
      <c r="W492" s="5" t="s">
        <v>44</v>
      </c>
      <c r="AI492" s="5" t="s">
        <v>2283</v>
      </c>
      <c r="AJ492" s="5" t="s">
        <v>2284</v>
      </c>
    </row>
    <row r="493" spans="1:36" ht="15" customHeight="1" x14ac:dyDescent="0.25">
      <c r="A493" s="5" t="s">
        <v>51</v>
      </c>
      <c r="B493" s="5" t="s">
        <v>426</v>
      </c>
      <c r="C493" s="5" t="s">
        <v>427</v>
      </c>
      <c r="D493" s="5" t="s">
        <v>2329</v>
      </c>
      <c r="E493" s="5">
        <v>35.072834</v>
      </c>
      <c r="F493" s="5">
        <v>-96.141068000000004</v>
      </c>
      <c r="P493" s="5">
        <v>2014</v>
      </c>
      <c r="Q493" s="5">
        <v>2014</v>
      </c>
      <c r="W493" s="5" t="s">
        <v>44</v>
      </c>
      <c r="AI493" s="5" t="s">
        <v>2283</v>
      </c>
      <c r="AJ493" s="5" t="s">
        <v>2284</v>
      </c>
    </row>
    <row r="494" spans="1:36" ht="15" customHeight="1" x14ac:dyDescent="0.25">
      <c r="A494" s="5" t="s">
        <v>51</v>
      </c>
      <c r="B494" s="5" t="s">
        <v>426</v>
      </c>
      <c r="C494" s="5" t="s">
        <v>427</v>
      </c>
      <c r="D494" s="5" t="s">
        <v>2329</v>
      </c>
      <c r="E494" s="5">
        <v>35.072834</v>
      </c>
      <c r="F494" s="5">
        <v>-96.141068000000004</v>
      </c>
      <c r="P494" s="5">
        <v>2014</v>
      </c>
      <c r="Q494" s="5">
        <v>2014</v>
      </c>
      <c r="W494" s="5" t="s">
        <v>44</v>
      </c>
      <c r="AI494" s="5" t="s">
        <v>2283</v>
      </c>
      <c r="AJ494" s="5" t="s">
        <v>2284</v>
      </c>
    </row>
    <row r="495" spans="1:36" ht="15" customHeight="1" x14ac:dyDescent="0.25">
      <c r="A495" s="5" t="s">
        <v>51</v>
      </c>
      <c r="B495" s="5" t="s">
        <v>426</v>
      </c>
      <c r="C495" s="5" t="s">
        <v>427</v>
      </c>
      <c r="D495" s="5" t="s">
        <v>2329</v>
      </c>
      <c r="E495" s="5">
        <v>35.072834</v>
      </c>
      <c r="F495" s="5">
        <v>-96.141068000000004</v>
      </c>
      <c r="P495" s="5">
        <v>2014</v>
      </c>
      <c r="Q495" s="5">
        <v>2014</v>
      </c>
      <c r="W495" s="5" t="s">
        <v>44</v>
      </c>
      <c r="AI495" s="5" t="s">
        <v>2283</v>
      </c>
      <c r="AJ495" s="5" t="s">
        <v>2284</v>
      </c>
    </row>
    <row r="496" spans="1:36" ht="15" customHeight="1" x14ac:dyDescent="0.25">
      <c r="A496" s="5" t="s">
        <v>51</v>
      </c>
      <c r="B496" s="5" t="s">
        <v>426</v>
      </c>
      <c r="C496" s="5" t="s">
        <v>427</v>
      </c>
      <c r="D496" s="5" t="s">
        <v>2329</v>
      </c>
      <c r="E496" s="5">
        <v>35.072690000000001</v>
      </c>
      <c r="F496" s="5">
        <v>-96.134501999999998</v>
      </c>
      <c r="P496" s="5">
        <v>2016</v>
      </c>
      <c r="Q496" s="5">
        <v>2016</v>
      </c>
      <c r="W496" s="5" t="s">
        <v>44</v>
      </c>
      <c r="AI496" s="5" t="s">
        <v>2283</v>
      </c>
      <c r="AJ496" s="5" t="s">
        <v>2284</v>
      </c>
    </row>
    <row r="497" spans="1:36" ht="15" customHeight="1" x14ac:dyDescent="0.25">
      <c r="A497" s="5" t="s">
        <v>51</v>
      </c>
      <c r="B497" s="5" t="s">
        <v>426</v>
      </c>
      <c r="C497" s="5" t="s">
        <v>427</v>
      </c>
      <c r="D497" s="5" t="s">
        <v>2329</v>
      </c>
      <c r="E497" s="5">
        <v>35.072690000000001</v>
      </c>
      <c r="F497" s="5">
        <v>-96.134501999999998</v>
      </c>
      <c r="P497" s="5">
        <v>2016</v>
      </c>
      <c r="Q497" s="5">
        <v>2016</v>
      </c>
      <c r="W497" s="5" t="s">
        <v>44</v>
      </c>
      <c r="AI497" s="5" t="s">
        <v>2283</v>
      </c>
      <c r="AJ497" s="5" t="s">
        <v>2284</v>
      </c>
    </row>
    <row r="498" spans="1:36" ht="15" customHeight="1" x14ac:dyDescent="0.25">
      <c r="A498" s="5" t="s">
        <v>51</v>
      </c>
      <c r="B498" s="5" t="s">
        <v>426</v>
      </c>
      <c r="C498" s="5" t="s">
        <v>427</v>
      </c>
      <c r="D498" s="5" t="s">
        <v>2329</v>
      </c>
      <c r="E498" s="5">
        <v>35.072026000000001</v>
      </c>
      <c r="F498" s="5">
        <v>-96.129041000000001</v>
      </c>
      <c r="P498" s="5">
        <v>2016</v>
      </c>
      <c r="Q498" s="5">
        <v>2016</v>
      </c>
      <c r="W498" s="5" t="s">
        <v>44</v>
      </c>
      <c r="AI498" s="5" t="s">
        <v>2283</v>
      </c>
      <c r="AJ498" s="5" t="s">
        <v>2284</v>
      </c>
    </row>
    <row r="499" spans="1:36" ht="15" customHeight="1" x14ac:dyDescent="0.25">
      <c r="A499" s="5" t="s">
        <v>51</v>
      </c>
      <c r="B499" s="5" t="s">
        <v>426</v>
      </c>
      <c r="C499" s="5" t="s">
        <v>427</v>
      </c>
      <c r="D499" s="5" t="s">
        <v>2329</v>
      </c>
      <c r="E499" s="5">
        <v>35.072026000000001</v>
      </c>
      <c r="F499" s="5">
        <v>-96.129041000000001</v>
      </c>
      <c r="P499" s="5">
        <v>2016</v>
      </c>
      <c r="Q499" s="5">
        <v>2016</v>
      </c>
      <c r="W499" s="5" t="s">
        <v>44</v>
      </c>
      <c r="AI499" s="5" t="s">
        <v>2283</v>
      </c>
      <c r="AJ499" s="5" t="s">
        <v>2284</v>
      </c>
    </row>
    <row r="500" spans="1:36" ht="15" customHeight="1" x14ac:dyDescent="0.25">
      <c r="A500" s="5" t="s">
        <v>51</v>
      </c>
      <c r="B500" s="5" t="s">
        <v>426</v>
      </c>
      <c r="C500" s="5" t="s">
        <v>427</v>
      </c>
      <c r="D500" s="5" t="s">
        <v>2329</v>
      </c>
      <c r="E500" s="5">
        <v>35.069662000000001</v>
      </c>
      <c r="F500" s="5">
        <v>-96.115071999999998</v>
      </c>
      <c r="P500" s="5">
        <v>2016</v>
      </c>
      <c r="Q500" s="5">
        <v>2016</v>
      </c>
      <c r="W500" s="5" t="s">
        <v>44</v>
      </c>
      <c r="AI500" s="5" t="s">
        <v>2283</v>
      </c>
      <c r="AJ500" s="5" t="s">
        <v>2284</v>
      </c>
    </row>
    <row r="501" spans="1:36" ht="15" customHeight="1" x14ac:dyDescent="0.25">
      <c r="A501" s="5" t="s">
        <v>51</v>
      </c>
      <c r="B501" s="5" t="s">
        <v>426</v>
      </c>
      <c r="C501" s="5" t="s">
        <v>427</v>
      </c>
      <c r="D501" s="5" t="s">
        <v>2329</v>
      </c>
      <c r="E501" s="5">
        <v>35.069662000000001</v>
      </c>
      <c r="F501" s="5">
        <v>-96.115071999999998</v>
      </c>
      <c r="P501" s="5">
        <v>2016</v>
      </c>
      <c r="Q501" s="5">
        <v>2016</v>
      </c>
      <c r="W501" s="5" t="s">
        <v>44</v>
      </c>
      <c r="AI501" s="5" t="s">
        <v>2283</v>
      </c>
      <c r="AJ501" s="5" t="s">
        <v>2284</v>
      </c>
    </row>
    <row r="502" spans="1:36" ht="15" customHeight="1" x14ac:dyDescent="0.25">
      <c r="A502" s="5" t="s">
        <v>51</v>
      </c>
      <c r="B502" s="5" t="s">
        <v>426</v>
      </c>
      <c r="C502" s="5" t="s">
        <v>427</v>
      </c>
      <c r="D502" s="5" t="s">
        <v>2329</v>
      </c>
      <c r="E502" s="5">
        <v>35.044891999999997</v>
      </c>
      <c r="F502" s="5">
        <v>-95.977654000000001</v>
      </c>
      <c r="P502" s="5">
        <v>2013</v>
      </c>
      <c r="Q502" s="5">
        <v>2013</v>
      </c>
      <c r="W502" s="5" t="s">
        <v>44</v>
      </c>
      <c r="AI502" s="5" t="s">
        <v>2283</v>
      </c>
      <c r="AJ502" s="5" t="s">
        <v>2284</v>
      </c>
    </row>
    <row r="503" spans="1:36" ht="15" customHeight="1" x14ac:dyDescent="0.25">
      <c r="A503" s="5" t="s">
        <v>51</v>
      </c>
      <c r="B503" s="5" t="s">
        <v>426</v>
      </c>
      <c r="C503" s="5" t="s">
        <v>427</v>
      </c>
      <c r="D503" s="5" t="s">
        <v>2329</v>
      </c>
      <c r="E503" s="5">
        <v>35.052357999999998</v>
      </c>
      <c r="F503" s="5">
        <v>-95.974012999999999</v>
      </c>
      <c r="P503" s="5">
        <v>2013</v>
      </c>
      <c r="Q503" s="5">
        <v>2013</v>
      </c>
      <c r="W503" s="5" t="s">
        <v>44</v>
      </c>
      <c r="AI503" s="5" t="s">
        <v>2283</v>
      </c>
      <c r="AJ503" s="5" t="s">
        <v>2284</v>
      </c>
    </row>
    <row r="504" spans="1:36" ht="15" customHeight="1" x14ac:dyDescent="0.25">
      <c r="A504" s="5" t="s">
        <v>51</v>
      </c>
      <c r="B504" s="5" t="s">
        <v>426</v>
      </c>
      <c r="C504" s="5" t="s">
        <v>427</v>
      </c>
      <c r="D504" s="5" t="s">
        <v>2329</v>
      </c>
      <c r="P504" s="5"/>
      <c r="W504" s="5" t="s">
        <v>44</v>
      </c>
      <c r="AI504" s="5" t="s">
        <v>2283</v>
      </c>
      <c r="AJ504" s="5" t="s">
        <v>2284</v>
      </c>
    </row>
    <row r="505" spans="1:36" ht="15" customHeight="1" x14ac:dyDescent="0.25">
      <c r="A505" s="5" t="s">
        <v>51</v>
      </c>
      <c r="B505" s="5" t="s">
        <v>426</v>
      </c>
      <c r="C505" s="5" t="s">
        <v>427</v>
      </c>
      <c r="D505" s="5" t="s">
        <v>2329</v>
      </c>
      <c r="P505" s="5"/>
      <c r="W505" s="5" t="s">
        <v>44</v>
      </c>
      <c r="AI505" s="5" t="s">
        <v>2283</v>
      </c>
      <c r="AJ505" s="5" t="s">
        <v>2284</v>
      </c>
    </row>
    <row r="506" spans="1:36" x14ac:dyDescent="0.25">
      <c r="A506" s="5" t="s">
        <v>51</v>
      </c>
      <c r="B506" s="5" t="s">
        <v>426</v>
      </c>
      <c r="C506" s="5" t="s">
        <v>427</v>
      </c>
      <c r="D506" s="5" t="s">
        <v>2329</v>
      </c>
      <c r="P506" s="5"/>
      <c r="W506" s="5" t="s">
        <v>44</v>
      </c>
      <c r="AI506" s="5" t="s">
        <v>2283</v>
      </c>
      <c r="AJ506" s="5" t="s">
        <v>2284</v>
      </c>
    </row>
    <row r="507" spans="1:36" x14ac:dyDescent="0.25">
      <c r="A507" s="5" t="s">
        <v>51</v>
      </c>
      <c r="B507" s="5" t="s">
        <v>426</v>
      </c>
      <c r="C507" s="5" t="s">
        <v>427</v>
      </c>
      <c r="D507" s="5" t="s">
        <v>2329</v>
      </c>
      <c r="P507" s="5"/>
      <c r="W507" s="5" t="s">
        <v>44</v>
      </c>
      <c r="AI507" s="5" t="s">
        <v>2283</v>
      </c>
      <c r="AJ507" s="5" t="s">
        <v>2284</v>
      </c>
    </row>
    <row r="508" spans="1:36" x14ac:dyDescent="0.25">
      <c r="A508" s="5" t="s">
        <v>51</v>
      </c>
      <c r="B508" s="5" t="s">
        <v>426</v>
      </c>
      <c r="C508" s="5" t="s">
        <v>427</v>
      </c>
      <c r="D508" s="5" t="s">
        <v>2329</v>
      </c>
      <c r="P508" s="5"/>
      <c r="W508" s="5" t="s">
        <v>44</v>
      </c>
      <c r="AI508" s="5" t="s">
        <v>2283</v>
      </c>
      <c r="AJ508" s="5" t="s">
        <v>2284</v>
      </c>
    </row>
    <row r="509" spans="1:36" x14ac:dyDescent="0.25">
      <c r="A509" s="5" t="s">
        <v>51</v>
      </c>
      <c r="B509" s="5" t="s">
        <v>426</v>
      </c>
      <c r="C509" s="5" t="s">
        <v>427</v>
      </c>
      <c r="D509" s="5" t="s">
        <v>2294</v>
      </c>
      <c r="E509" s="5">
        <v>34.811112999999999</v>
      </c>
      <c r="F509" s="5">
        <v>-96.199510000000004</v>
      </c>
      <c r="P509" s="5">
        <v>2011</v>
      </c>
      <c r="Q509" s="5">
        <v>2011</v>
      </c>
      <c r="W509" s="5" t="s">
        <v>44</v>
      </c>
      <c r="AI509" s="5" t="s">
        <v>2283</v>
      </c>
      <c r="AJ509" s="5" t="s">
        <v>2284</v>
      </c>
    </row>
    <row r="510" spans="1:36" x14ac:dyDescent="0.25">
      <c r="A510" s="5" t="s">
        <v>51</v>
      </c>
      <c r="B510" s="5" t="s">
        <v>426</v>
      </c>
      <c r="C510" s="5" t="s">
        <v>427</v>
      </c>
      <c r="D510" s="5" t="s">
        <v>2294</v>
      </c>
      <c r="E510" s="5">
        <v>34.811273999999997</v>
      </c>
      <c r="F510" s="5">
        <v>-96.189357999999999</v>
      </c>
      <c r="P510" s="5">
        <v>2011</v>
      </c>
      <c r="Q510" s="5">
        <v>2011</v>
      </c>
      <c r="W510" s="5" t="s">
        <v>44</v>
      </c>
      <c r="AI510" s="5" t="s">
        <v>2283</v>
      </c>
      <c r="AJ510" s="5" t="s">
        <v>2284</v>
      </c>
    </row>
    <row r="511" spans="1:36" x14ac:dyDescent="0.25">
      <c r="A511" s="5" t="s">
        <v>51</v>
      </c>
      <c r="B511" s="5" t="s">
        <v>426</v>
      </c>
      <c r="C511" s="5" t="s">
        <v>427</v>
      </c>
      <c r="D511" s="5" t="s">
        <v>2294</v>
      </c>
      <c r="E511" s="5">
        <v>34.811273999999997</v>
      </c>
      <c r="F511" s="5">
        <v>-96.189357999999999</v>
      </c>
      <c r="P511" s="5">
        <v>2011</v>
      </c>
      <c r="Q511" s="5">
        <v>2011</v>
      </c>
      <c r="W511" s="5" t="s">
        <v>44</v>
      </c>
      <c r="AI511" s="5" t="s">
        <v>2283</v>
      </c>
      <c r="AJ511" s="5" t="s">
        <v>2284</v>
      </c>
    </row>
    <row r="512" spans="1:36" x14ac:dyDescent="0.25">
      <c r="A512" s="5" t="s">
        <v>51</v>
      </c>
      <c r="B512" s="5" t="s">
        <v>426</v>
      </c>
      <c r="C512" s="5" t="s">
        <v>427</v>
      </c>
      <c r="D512" s="5" t="s">
        <v>2294</v>
      </c>
      <c r="E512" s="5">
        <v>34.840910999999998</v>
      </c>
      <c r="F512" s="5">
        <v>-96.111694</v>
      </c>
      <c r="P512" s="5">
        <v>2014</v>
      </c>
      <c r="Q512" s="5">
        <v>2014</v>
      </c>
      <c r="W512" s="5" t="s">
        <v>44</v>
      </c>
      <c r="AI512" s="5" t="s">
        <v>2283</v>
      </c>
      <c r="AJ512" s="5" t="s">
        <v>2284</v>
      </c>
    </row>
    <row r="513" spans="1:36" x14ac:dyDescent="0.25">
      <c r="A513" s="5" t="s">
        <v>51</v>
      </c>
      <c r="B513" s="5" t="s">
        <v>426</v>
      </c>
      <c r="C513" s="5" t="s">
        <v>427</v>
      </c>
      <c r="D513" s="5" t="s">
        <v>2294</v>
      </c>
      <c r="E513" s="5">
        <v>34.842424000000001</v>
      </c>
      <c r="F513" s="5">
        <v>-96.108597000000003</v>
      </c>
      <c r="P513" s="5">
        <v>2014</v>
      </c>
      <c r="Q513" s="5">
        <v>2014</v>
      </c>
      <c r="W513" s="5" t="s">
        <v>44</v>
      </c>
      <c r="AI513" s="5" t="s">
        <v>2283</v>
      </c>
      <c r="AJ513" s="5" t="s">
        <v>2284</v>
      </c>
    </row>
    <row r="514" spans="1:36" x14ac:dyDescent="0.25">
      <c r="A514" s="5" t="s">
        <v>51</v>
      </c>
      <c r="B514" s="5" t="s">
        <v>426</v>
      </c>
      <c r="C514" s="5" t="s">
        <v>427</v>
      </c>
      <c r="D514" s="5" t="s">
        <v>2294</v>
      </c>
      <c r="E514" s="5">
        <v>34.797127000000003</v>
      </c>
      <c r="F514" s="5">
        <v>-96.111213000000006</v>
      </c>
      <c r="P514" s="5">
        <v>2011</v>
      </c>
      <c r="Q514" s="5">
        <v>2011</v>
      </c>
      <c r="W514" s="5" t="s">
        <v>44</v>
      </c>
      <c r="AI514" s="5" t="s">
        <v>2283</v>
      </c>
      <c r="AJ514" s="5" t="s">
        <v>2284</v>
      </c>
    </row>
    <row r="515" spans="1:36" x14ac:dyDescent="0.25">
      <c r="A515" s="5" t="s">
        <v>51</v>
      </c>
      <c r="B515" s="5" t="s">
        <v>426</v>
      </c>
      <c r="C515" s="5" t="s">
        <v>427</v>
      </c>
      <c r="D515" s="5" t="s">
        <v>2294</v>
      </c>
      <c r="E515" s="5">
        <v>34.781095000000001</v>
      </c>
      <c r="F515" s="5">
        <v>-96.134062999999998</v>
      </c>
      <c r="P515" s="5">
        <v>2014</v>
      </c>
      <c r="Q515" s="5">
        <v>2014</v>
      </c>
      <c r="W515" s="5" t="s">
        <v>44</v>
      </c>
      <c r="AI515" s="5" t="s">
        <v>2283</v>
      </c>
      <c r="AJ515" s="5" t="s">
        <v>2284</v>
      </c>
    </row>
    <row r="516" spans="1:36" x14ac:dyDescent="0.25">
      <c r="A516" s="5" t="s">
        <v>51</v>
      </c>
      <c r="B516" s="5" t="s">
        <v>426</v>
      </c>
      <c r="C516" s="5" t="s">
        <v>427</v>
      </c>
      <c r="D516" s="5" t="s">
        <v>2294</v>
      </c>
      <c r="E516" s="5">
        <v>34.751880999999997</v>
      </c>
      <c r="F516" s="5">
        <v>-96.125225</v>
      </c>
      <c r="P516" s="5">
        <v>2013</v>
      </c>
      <c r="Q516" s="5">
        <v>2013</v>
      </c>
      <c r="W516" s="5" t="s">
        <v>44</v>
      </c>
      <c r="AI516" s="5" t="s">
        <v>2283</v>
      </c>
      <c r="AJ516" s="5" t="s">
        <v>2284</v>
      </c>
    </row>
    <row r="517" spans="1:36" x14ac:dyDescent="0.25">
      <c r="A517" s="5" t="s">
        <v>51</v>
      </c>
      <c r="B517" s="5" t="s">
        <v>426</v>
      </c>
      <c r="C517" s="5" t="s">
        <v>427</v>
      </c>
      <c r="D517" s="5" t="s">
        <v>2294</v>
      </c>
      <c r="E517" s="5">
        <v>34.751581999999999</v>
      </c>
      <c r="F517" s="5">
        <v>-96.116433999999998</v>
      </c>
      <c r="P517" s="5">
        <v>2013</v>
      </c>
      <c r="Q517" s="5">
        <v>2013</v>
      </c>
      <c r="W517" s="5" t="s">
        <v>44</v>
      </c>
      <c r="AI517" s="5" t="s">
        <v>2283</v>
      </c>
      <c r="AJ517" s="5" t="s">
        <v>2284</v>
      </c>
    </row>
    <row r="518" spans="1:36" x14ac:dyDescent="0.25">
      <c r="A518" s="5" t="s">
        <v>51</v>
      </c>
      <c r="B518" s="5" t="s">
        <v>426</v>
      </c>
      <c r="C518" s="5" t="s">
        <v>427</v>
      </c>
      <c r="D518" s="5" t="s">
        <v>2294</v>
      </c>
      <c r="E518" s="5">
        <v>34.751581999999999</v>
      </c>
      <c r="F518" s="5">
        <v>-96.116433999999998</v>
      </c>
      <c r="P518" s="5">
        <v>2013</v>
      </c>
      <c r="Q518" s="5">
        <v>2013</v>
      </c>
      <c r="W518" s="5" t="s">
        <v>44</v>
      </c>
      <c r="AI518" s="5" t="s">
        <v>2283</v>
      </c>
      <c r="AJ518" s="5" t="s">
        <v>2284</v>
      </c>
    </row>
    <row r="519" spans="1:36" x14ac:dyDescent="0.25">
      <c r="A519" s="5" t="s">
        <v>51</v>
      </c>
      <c r="B519" s="5" t="s">
        <v>426</v>
      </c>
      <c r="C519" s="5" t="s">
        <v>427</v>
      </c>
      <c r="D519" s="5" t="s">
        <v>2294</v>
      </c>
      <c r="E519" s="5">
        <v>34.751581999999999</v>
      </c>
      <c r="F519" s="5">
        <v>-96.116433999999998</v>
      </c>
      <c r="P519" s="5">
        <v>2013</v>
      </c>
      <c r="Q519" s="5">
        <v>2013</v>
      </c>
      <c r="W519" s="5" t="s">
        <v>44</v>
      </c>
      <c r="AI519" s="5" t="s">
        <v>2283</v>
      </c>
      <c r="AJ519" s="5" t="s">
        <v>2284</v>
      </c>
    </row>
    <row r="520" spans="1:36" ht="15" customHeight="1" x14ac:dyDescent="0.25">
      <c r="A520" s="5" t="s">
        <v>51</v>
      </c>
      <c r="B520" s="5" t="s">
        <v>426</v>
      </c>
      <c r="C520" s="5" t="s">
        <v>427</v>
      </c>
      <c r="D520" s="5" t="s">
        <v>2294</v>
      </c>
      <c r="E520" s="5">
        <v>34.709978999999997</v>
      </c>
      <c r="F520" s="5">
        <v>-96.143630000000002</v>
      </c>
      <c r="P520" s="5">
        <v>2010</v>
      </c>
      <c r="Q520" s="5">
        <v>2010</v>
      </c>
      <c r="W520" s="5" t="s">
        <v>44</v>
      </c>
      <c r="AI520" s="5" t="s">
        <v>2283</v>
      </c>
      <c r="AJ520" s="5" t="s">
        <v>2284</v>
      </c>
    </row>
    <row r="521" spans="1:36" x14ac:dyDescent="0.25">
      <c r="A521" s="5" t="s">
        <v>51</v>
      </c>
      <c r="B521" s="5" t="s">
        <v>426</v>
      </c>
      <c r="C521" s="5" t="s">
        <v>427</v>
      </c>
      <c r="D521" s="5" t="s">
        <v>2294</v>
      </c>
      <c r="E521" s="5">
        <v>34.707895999999998</v>
      </c>
      <c r="F521" s="5">
        <v>-96.131354999999999</v>
      </c>
      <c r="P521" s="5">
        <v>2011</v>
      </c>
      <c r="Q521" s="5">
        <v>2011</v>
      </c>
      <c r="W521" s="5" t="s">
        <v>44</v>
      </c>
      <c r="AI521" s="5" t="s">
        <v>2283</v>
      </c>
      <c r="AJ521" s="5" t="s">
        <v>2284</v>
      </c>
    </row>
    <row r="522" spans="1:36" x14ac:dyDescent="0.25">
      <c r="A522" s="5" t="s">
        <v>51</v>
      </c>
      <c r="B522" s="5" t="s">
        <v>426</v>
      </c>
      <c r="C522" s="5" t="s">
        <v>427</v>
      </c>
      <c r="D522" s="5" t="s">
        <v>2294</v>
      </c>
      <c r="E522" s="5">
        <v>34.711407000000001</v>
      </c>
      <c r="F522" s="5">
        <v>-96.108271999999999</v>
      </c>
      <c r="P522" s="5">
        <v>2011</v>
      </c>
      <c r="Q522" s="5">
        <v>2011</v>
      </c>
      <c r="W522" s="5" t="s">
        <v>44</v>
      </c>
      <c r="AI522" s="5" t="s">
        <v>2283</v>
      </c>
      <c r="AJ522" s="5" t="s">
        <v>2284</v>
      </c>
    </row>
    <row r="523" spans="1:36" x14ac:dyDescent="0.25">
      <c r="A523" s="5" t="s">
        <v>51</v>
      </c>
      <c r="B523" s="5" t="s">
        <v>426</v>
      </c>
      <c r="C523" s="5" t="s">
        <v>427</v>
      </c>
      <c r="D523" s="5" t="s">
        <v>2294</v>
      </c>
      <c r="E523" s="5">
        <v>34.665610999999998</v>
      </c>
      <c r="F523" s="5">
        <v>-96.105286000000007</v>
      </c>
      <c r="P523" s="5">
        <v>2010</v>
      </c>
      <c r="Q523" s="5">
        <v>2010</v>
      </c>
      <c r="W523" s="5" t="s">
        <v>44</v>
      </c>
      <c r="AI523" s="5" t="s">
        <v>2283</v>
      </c>
      <c r="AJ523" s="5" t="s">
        <v>2284</v>
      </c>
    </row>
    <row r="524" spans="1:36" x14ac:dyDescent="0.25">
      <c r="A524" s="5" t="s">
        <v>51</v>
      </c>
      <c r="B524" s="5" t="s">
        <v>426</v>
      </c>
      <c r="C524" s="5" t="s">
        <v>427</v>
      </c>
      <c r="D524" s="5" t="s">
        <v>2294</v>
      </c>
      <c r="E524" s="5">
        <v>34.783366999999998</v>
      </c>
      <c r="F524" s="5">
        <v>-96.065636999999995</v>
      </c>
      <c r="P524" s="5">
        <v>2012</v>
      </c>
      <c r="Q524" s="5">
        <v>2012</v>
      </c>
      <c r="W524" s="5" t="s">
        <v>44</v>
      </c>
      <c r="AI524" s="5" t="s">
        <v>2283</v>
      </c>
      <c r="AJ524" s="5" t="s">
        <v>2284</v>
      </c>
    </row>
    <row r="525" spans="1:36" x14ac:dyDescent="0.25">
      <c r="A525" s="5" t="s">
        <v>51</v>
      </c>
      <c r="B525" s="5" t="s">
        <v>426</v>
      </c>
      <c r="C525" s="5" t="s">
        <v>427</v>
      </c>
      <c r="D525" s="5" t="s">
        <v>2294</v>
      </c>
      <c r="E525" s="5">
        <v>34.782964</v>
      </c>
      <c r="F525" s="5">
        <v>-96.027756999999994</v>
      </c>
      <c r="P525" s="5">
        <v>2012</v>
      </c>
      <c r="Q525" s="5">
        <v>2012</v>
      </c>
      <c r="W525" s="5" t="s">
        <v>44</v>
      </c>
      <c r="AI525" s="5" t="s">
        <v>2283</v>
      </c>
      <c r="AJ525" s="5" t="s">
        <v>2284</v>
      </c>
    </row>
    <row r="526" spans="1:36" x14ac:dyDescent="0.25">
      <c r="A526" s="5" t="s">
        <v>51</v>
      </c>
      <c r="B526" s="5" t="s">
        <v>426</v>
      </c>
      <c r="C526" s="5" t="s">
        <v>427</v>
      </c>
      <c r="D526" s="5" t="s">
        <v>2294</v>
      </c>
      <c r="E526" s="5">
        <v>34.765537000000002</v>
      </c>
      <c r="F526" s="5">
        <v>-96.088609000000005</v>
      </c>
      <c r="P526" s="5">
        <v>2011</v>
      </c>
      <c r="Q526" s="5">
        <v>2011</v>
      </c>
      <c r="W526" s="5" t="s">
        <v>44</v>
      </c>
      <c r="AI526" s="5" t="s">
        <v>2283</v>
      </c>
      <c r="AJ526" s="5" t="s">
        <v>2284</v>
      </c>
    </row>
    <row r="527" spans="1:36" x14ac:dyDescent="0.25">
      <c r="A527" s="5" t="s">
        <v>51</v>
      </c>
      <c r="B527" s="5" t="s">
        <v>426</v>
      </c>
      <c r="C527" s="5" t="s">
        <v>427</v>
      </c>
      <c r="D527" s="5" t="s">
        <v>2294</v>
      </c>
      <c r="E527" s="5">
        <v>34.765537000000002</v>
      </c>
      <c r="F527" s="5">
        <v>-96.088609000000005</v>
      </c>
      <c r="P527" s="5">
        <v>2011</v>
      </c>
      <c r="Q527" s="5">
        <v>2011</v>
      </c>
      <c r="W527" s="5" t="s">
        <v>44</v>
      </c>
      <c r="AI527" s="5" t="s">
        <v>2283</v>
      </c>
      <c r="AJ527" s="5" t="s">
        <v>2284</v>
      </c>
    </row>
    <row r="528" spans="1:36" x14ac:dyDescent="0.25">
      <c r="A528" s="5" t="s">
        <v>51</v>
      </c>
      <c r="B528" s="5" t="s">
        <v>426</v>
      </c>
      <c r="C528" s="5" t="s">
        <v>427</v>
      </c>
      <c r="D528" s="5" t="s">
        <v>2294</v>
      </c>
      <c r="E528" s="5">
        <v>34.752327999999999</v>
      </c>
      <c r="F528" s="5">
        <v>-96.088742999999994</v>
      </c>
      <c r="P528" s="5">
        <v>2010</v>
      </c>
      <c r="Q528" s="5">
        <v>2010</v>
      </c>
      <c r="W528" s="5" t="s">
        <v>44</v>
      </c>
      <c r="AI528" s="5" t="s">
        <v>2283</v>
      </c>
      <c r="AJ528" s="5" t="s">
        <v>2284</v>
      </c>
    </row>
    <row r="529" spans="1:36" x14ac:dyDescent="0.25">
      <c r="A529" s="5" t="s">
        <v>51</v>
      </c>
      <c r="B529" s="5" t="s">
        <v>426</v>
      </c>
      <c r="C529" s="5" t="s">
        <v>427</v>
      </c>
      <c r="D529" s="5" t="s">
        <v>2294</v>
      </c>
      <c r="E529" s="5">
        <v>34.752327999999999</v>
      </c>
      <c r="F529" s="5">
        <v>-96.088742999999994</v>
      </c>
      <c r="P529" s="5">
        <v>2010</v>
      </c>
      <c r="Q529" s="5">
        <v>2010</v>
      </c>
      <c r="W529" s="5" t="s">
        <v>44</v>
      </c>
      <c r="AI529" s="5" t="s">
        <v>2283</v>
      </c>
      <c r="AJ529" s="5" t="s">
        <v>2284</v>
      </c>
    </row>
    <row r="530" spans="1:36" ht="15" customHeight="1" x14ac:dyDescent="0.25">
      <c r="A530" s="5" t="s">
        <v>51</v>
      </c>
      <c r="B530" s="5" t="s">
        <v>426</v>
      </c>
      <c r="C530" s="5" t="s">
        <v>427</v>
      </c>
      <c r="D530" s="5" t="s">
        <v>2294</v>
      </c>
      <c r="E530" s="5">
        <v>34.752296999999999</v>
      </c>
      <c r="F530" s="5">
        <v>-96.079291999999995</v>
      </c>
      <c r="P530" s="5">
        <v>2011</v>
      </c>
      <c r="Q530" s="5">
        <v>2011</v>
      </c>
      <c r="W530" s="5" t="s">
        <v>44</v>
      </c>
      <c r="AI530" s="5" t="s">
        <v>2283</v>
      </c>
      <c r="AJ530" s="5" t="s">
        <v>2284</v>
      </c>
    </row>
    <row r="531" spans="1:36" x14ac:dyDescent="0.25">
      <c r="A531" s="5" t="s">
        <v>51</v>
      </c>
      <c r="B531" s="5" t="s">
        <v>426</v>
      </c>
      <c r="C531" s="5" t="s">
        <v>427</v>
      </c>
      <c r="D531" s="5" t="s">
        <v>2294</v>
      </c>
      <c r="E531" s="5">
        <v>34.753843000000003</v>
      </c>
      <c r="F531" s="5">
        <v>-96.073070000000001</v>
      </c>
      <c r="P531" s="5">
        <v>2011</v>
      </c>
      <c r="Q531" s="5">
        <v>2011</v>
      </c>
      <c r="W531" s="5" t="s">
        <v>44</v>
      </c>
      <c r="AI531" s="5" t="s">
        <v>2283</v>
      </c>
      <c r="AJ531" s="5" t="s">
        <v>2284</v>
      </c>
    </row>
    <row r="532" spans="1:36" x14ac:dyDescent="0.25">
      <c r="A532" s="5" t="s">
        <v>51</v>
      </c>
      <c r="B532" s="5" t="s">
        <v>426</v>
      </c>
      <c r="C532" s="5" t="s">
        <v>427</v>
      </c>
      <c r="D532" s="5" t="s">
        <v>2294</v>
      </c>
      <c r="E532" s="5">
        <v>34.750300000000003</v>
      </c>
      <c r="F532" s="5">
        <v>-96.065235000000001</v>
      </c>
      <c r="P532" s="5">
        <v>2011</v>
      </c>
      <c r="Q532" s="5">
        <v>2011</v>
      </c>
      <c r="W532" s="5" t="s">
        <v>44</v>
      </c>
      <c r="AI532" s="5" t="s">
        <v>2283</v>
      </c>
      <c r="AJ532" s="5" t="s">
        <v>2284</v>
      </c>
    </row>
    <row r="533" spans="1:36" x14ac:dyDescent="0.25">
      <c r="A533" s="5" t="s">
        <v>51</v>
      </c>
      <c r="B533" s="5" t="s">
        <v>426</v>
      </c>
      <c r="C533" s="5" t="s">
        <v>427</v>
      </c>
      <c r="D533" s="5" t="s">
        <v>2294</v>
      </c>
      <c r="P533" s="5"/>
      <c r="W533" s="5" t="s">
        <v>44</v>
      </c>
      <c r="AI533" s="5" t="s">
        <v>2283</v>
      </c>
      <c r="AJ533" s="5" t="s">
        <v>2284</v>
      </c>
    </row>
    <row r="534" spans="1:36" x14ac:dyDescent="0.25">
      <c r="A534" s="5" t="s">
        <v>51</v>
      </c>
      <c r="B534" s="5" t="s">
        <v>426</v>
      </c>
      <c r="C534" s="5" t="s">
        <v>427</v>
      </c>
      <c r="D534" s="5" t="s">
        <v>2294</v>
      </c>
      <c r="P534" s="5"/>
      <c r="W534" s="5" t="s">
        <v>44</v>
      </c>
      <c r="AI534" s="5" t="s">
        <v>2283</v>
      </c>
      <c r="AJ534" s="5" t="s">
        <v>2284</v>
      </c>
    </row>
    <row r="535" spans="1:36" x14ac:dyDescent="0.25">
      <c r="A535" s="5" t="s">
        <v>51</v>
      </c>
      <c r="B535" s="5" t="s">
        <v>426</v>
      </c>
      <c r="C535" s="5" t="s">
        <v>427</v>
      </c>
      <c r="D535" s="5" t="s">
        <v>2294</v>
      </c>
      <c r="P535" s="5"/>
      <c r="W535" s="5" t="s">
        <v>44</v>
      </c>
      <c r="AI535" s="5" t="s">
        <v>2283</v>
      </c>
      <c r="AJ535" s="5" t="s">
        <v>2284</v>
      </c>
    </row>
    <row r="536" spans="1:36" x14ac:dyDescent="0.25">
      <c r="A536" s="5" t="s">
        <v>51</v>
      </c>
      <c r="B536" s="5" t="s">
        <v>426</v>
      </c>
      <c r="C536" s="5" t="s">
        <v>427</v>
      </c>
      <c r="D536" s="5" t="s">
        <v>2294</v>
      </c>
      <c r="P536" s="5"/>
      <c r="W536" s="5" t="s">
        <v>44</v>
      </c>
      <c r="AI536" s="5" t="s">
        <v>2283</v>
      </c>
      <c r="AJ536" s="5" t="s">
        <v>2284</v>
      </c>
    </row>
    <row r="537" spans="1:36" x14ac:dyDescent="0.25">
      <c r="A537" s="5" t="s">
        <v>51</v>
      </c>
      <c r="B537" s="5" t="s">
        <v>426</v>
      </c>
      <c r="C537" s="5" t="s">
        <v>427</v>
      </c>
      <c r="D537" s="5" t="s">
        <v>2294</v>
      </c>
      <c r="P537" s="5"/>
      <c r="W537" s="5" t="s">
        <v>44</v>
      </c>
      <c r="AI537" s="5" t="s">
        <v>2283</v>
      </c>
      <c r="AJ537" s="5" t="s">
        <v>2284</v>
      </c>
    </row>
    <row r="538" spans="1:36" x14ac:dyDescent="0.25">
      <c r="A538" s="5" t="s">
        <v>51</v>
      </c>
      <c r="B538" s="5" t="s">
        <v>426</v>
      </c>
      <c r="C538" s="5" t="s">
        <v>427</v>
      </c>
      <c r="D538" s="5" t="s">
        <v>2294</v>
      </c>
      <c r="P538" s="5"/>
      <c r="W538" s="5" t="s">
        <v>44</v>
      </c>
      <c r="AI538" s="5" t="s">
        <v>2283</v>
      </c>
      <c r="AJ538" s="5" t="s">
        <v>2284</v>
      </c>
    </row>
    <row r="539" spans="1:36" x14ac:dyDescent="0.25">
      <c r="A539" s="5" t="s">
        <v>51</v>
      </c>
      <c r="B539" s="5" t="s">
        <v>426</v>
      </c>
      <c r="C539" s="5" t="s">
        <v>427</v>
      </c>
      <c r="D539" s="5" t="s">
        <v>2294</v>
      </c>
      <c r="P539" s="5"/>
      <c r="W539" s="5" t="s">
        <v>44</v>
      </c>
      <c r="AI539" s="5" t="s">
        <v>2283</v>
      </c>
      <c r="AJ539" s="5" t="s">
        <v>2284</v>
      </c>
    </row>
    <row r="540" spans="1:36" x14ac:dyDescent="0.25">
      <c r="A540" s="5" t="s">
        <v>51</v>
      </c>
      <c r="B540" s="5" t="s">
        <v>426</v>
      </c>
      <c r="C540" s="5" t="s">
        <v>427</v>
      </c>
      <c r="D540" s="5" t="s">
        <v>2294</v>
      </c>
      <c r="P540" s="5"/>
      <c r="W540" s="5" t="s">
        <v>44</v>
      </c>
      <c r="AI540" s="5" t="s">
        <v>2283</v>
      </c>
      <c r="AJ540" s="5" t="s">
        <v>2284</v>
      </c>
    </row>
    <row r="541" spans="1:36" x14ac:dyDescent="0.25">
      <c r="A541" s="5" t="s">
        <v>51</v>
      </c>
      <c r="B541" s="5" t="s">
        <v>426</v>
      </c>
      <c r="C541" s="5" t="s">
        <v>427</v>
      </c>
      <c r="D541" s="5" t="s">
        <v>2294</v>
      </c>
      <c r="P541" s="5"/>
      <c r="W541" s="5" t="s">
        <v>44</v>
      </c>
      <c r="AI541" s="5" t="s">
        <v>2283</v>
      </c>
      <c r="AJ541" s="5" t="s">
        <v>2284</v>
      </c>
    </row>
    <row r="542" spans="1:36" ht="15" customHeight="1" x14ac:dyDescent="0.25">
      <c r="A542" s="5" t="s">
        <v>51</v>
      </c>
      <c r="B542" s="5" t="s">
        <v>426</v>
      </c>
      <c r="C542" s="5" t="s">
        <v>427</v>
      </c>
      <c r="D542" s="5" t="s">
        <v>2294</v>
      </c>
      <c r="P542" s="5"/>
      <c r="W542" s="5" t="s">
        <v>44</v>
      </c>
      <c r="AI542" s="5" t="s">
        <v>2283</v>
      </c>
      <c r="AJ542" s="5" t="s">
        <v>2284</v>
      </c>
    </row>
    <row r="543" spans="1:36" ht="15" customHeight="1" x14ac:dyDescent="0.25">
      <c r="A543" s="5" t="s">
        <v>51</v>
      </c>
      <c r="B543" s="5" t="s">
        <v>426</v>
      </c>
      <c r="C543" s="5" t="s">
        <v>427</v>
      </c>
      <c r="D543" s="5" t="s">
        <v>2294</v>
      </c>
      <c r="P543" s="5"/>
      <c r="W543" s="5" t="s">
        <v>44</v>
      </c>
      <c r="AI543" s="5" t="s">
        <v>2283</v>
      </c>
      <c r="AJ543" s="5" t="s">
        <v>2284</v>
      </c>
    </row>
    <row r="544" spans="1:36" ht="15" customHeight="1" x14ac:dyDescent="0.25">
      <c r="A544" s="5" t="s">
        <v>51</v>
      </c>
      <c r="B544" s="5" t="s">
        <v>426</v>
      </c>
      <c r="C544" s="5" t="s">
        <v>427</v>
      </c>
      <c r="D544" s="5" t="s">
        <v>2294</v>
      </c>
      <c r="P544" s="5"/>
      <c r="W544" s="5" t="s">
        <v>44</v>
      </c>
      <c r="AI544" s="5" t="s">
        <v>2283</v>
      </c>
      <c r="AJ544" s="5" t="s">
        <v>2284</v>
      </c>
    </row>
    <row r="545" spans="1:36" ht="15" customHeight="1" x14ac:dyDescent="0.25">
      <c r="A545" s="5" t="s">
        <v>123</v>
      </c>
      <c r="B545" s="5" t="s">
        <v>426</v>
      </c>
      <c r="C545" s="5" t="s">
        <v>427</v>
      </c>
      <c r="D545" s="5" t="s">
        <v>2494</v>
      </c>
      <c r="E545" s="5">
        <v>55.982889999999998</v>
      </c>
      <c r="F545" s="5">
        <v>-120.61783</v>
      </c>
      <c r="I545" s="6">
        <v>42928</v>
      </c>
      <c r="J545" s="6">
        <v>42946</v>
      </c>
      <c r="L545" s="5">
        <v>82</v>
      </c>
      <c r="P545" s="5"/>
      <c r="W545" s="5" t="s">
        <v>44</v>
      </c>
      <c r="AI545" s="5" t="s">
        <v>2495</v>
      </c>
      <c r="AJ545" s="5" t="s">
        <v>2496</v>
      </c>
    </row>
    <row r="546" spans="1:36" ht="15" customHeight="1" x14ac:dyDescent="0.25">
      <c r="A546" s="5" t="s">
        <v>123</v>
      </c>
      <c r="B546" s="5" t="s">
        <v>426</v>
      </c>
      <c r="C546" s="5" t="s">
        <v>427</v>
      </c>
      <c r="D546" s="5" t="s">
        <v>2497</v>
      </c>
      <c r="E546" s="5">
        <v>55.906640000000003</v>
      </c>
      <c r="F546" s="5">
        <v>-120.3656</v>
      </c>
      <c r="I546" s="6">
        <v>42975</v>
      </c>
      <c r="J546" s="6">
        <v>42985</v>
      </c>
      <c r="L546" s="5">
        <v>219</v>
      </c>
      <c r="P546" s="5"/>
      <c r="W546" s="5" t="s">
        <v>44</v>
      </c>
      <c r="AI546" s="5" t="s">
        <v>2495</v>
      </c>
      <c r="AJ546" s="5" t="s">
        <v>2496</v>
      </c>
    </row>
    <row r="547" spans="1:36" ht="15" customHeight="1" x14ac:dyDescent="0.25">
      <c r="A547" s="5" t="s">
        <v>123</v>
      </c>
      <c r="B547" s="5" t="s">
        <v>426</v>
      </c>
      <c r="C547" s="5" t="s">
        <v>427</v>
      </c>
      <c r="D547" s="5" t="s">
        <v>2498</v>
      </c>
      <c r="E547" s="5">
        <v>55.941630000000004</v>
      </c>
      <c r="F547" s="5">
        <v>-120.54492999999999</v>
      </c>
      <c r="I547" s="6">
        <v>43020</v>
      </c>
      <c r="J547" s="6">
        <v>43033</v>
      </c>
      <c r="L547" s="5">
        <v>200</v>
      </c>
      <c r="P547" s="5"/>
      <c r="W547" s="5" t="s">
        <v>44</v>
      </c>
      <c r="AI547" s="5" t="s">
        <v>2495</v>
      </c>
      <c r="AJ547" s="5" t="s">
        <v>2496</v>
      </c>
    </row>
    <row r="548" spans="1:36" ht="15" customHeight="1" x14ac:dyDescent="0.25">
      <c r="A548" s="5" t="s">
        <v>123</v>
      </c>
      <c r="B548" s="5" t="s">
        <v>426</v>
      </c>
      <c r="C548" s="5" t="s">
        <v>427</v>
      </c>
      <c r="D548" s="5" t="s">
        <v>2499</v>
      </c>
      <c r="E548" s="5">
        <v>55.951090000000001</v>
      </c>
      <c r="F548" s="5">
        <v>-120.62889</v>
      </c>
      <c r="I548" s="6">
        <v>43041</v>
      </c>
      <c r="J548" s="6">
        <v>43058</v>
      </c>
      <c r="L548" s="5">
        <v>42</v>
      </c>
      <c r="P548" s="5"/>
      <c r="W548" s="5" t="s">
        <v>44</v>
      </c>
      <c r="AI548" s="5" t="s">
        <v>2495</v>
      </c>
      <c r="AJ548" s="5" t="s">
        <v>2496</v>
      </c>
    </row>
    <row r="549" spans="1:36" ht="15" customHeight="1" x14ac:dyDescent="0.25">
      <c r="A549" s="5" t="s">
        <v>123</v>
      </c>
      <c r="B549" s="5" t="s">
        <v>426</v>
      </c>
      <c r="C549" s="5" t="s">
        <v>427</v>
      </c>
      <c r="D549" s="5" t="s">
        <v>2500</v>
      </c>
      <c r="E549" s="5">
        <v>55.973950000000002</v>
      </c>
      <c r="F549" s="5">
        <v>-120.66511</v>
      </c>
      <c r="I549" s="6">
        <v>43070</v>
      </c>
      <c r="J549" s="6">
        <v>43074</v>
      </c>
      <c r="L549" s="5">
        <v>36</v>
      </c>
      <c r="P549" s="5"/>
      <c r="W549" s="5" t="s">
        <v>44</v>
      </c>
      <c r="AI549" s="5" t="s">
        <v>2495</v>
      </c>
      <c r="AJ549" s="5" t="s">
        <v>2496</v>
      </c>
    </row>
    <row r="550" spans="1:36" ht="15" customHeight="1" x14ac:dyDescent="0.25">
      <c r="A550" s="5" t="s">
        <v>123</v>
      </c>
      <c r="B550" s="5" t="s">
        <v>426</v>
      </c>
      <c r="C550" s="5" t="s">
        <v>427</v>
      </c>
      <c r="D550" s="5" t="s">
        <v>2501</v>
      </c>
      <c r="E550" s="5">
        <v>55.91572</v>
      </c>
      <c r="F550" s="5">
        <v>-120.24851</v>
      </c>
      <c r="I550" s="6">
        <v>43077</v>
      </c>
      <c r="J550" s="6">
        <v>43084</v>
      </c>
      <c r="L550" s="5">
        <v>32</v>
      </c>
      <c r="P550" s="5"/>
      <c r="W550" s="5" t="s">
        <v>44</v>
      </c>
      <c r="AI550" s="5" t="s">
        <v>2495</v>
      </c>
      <c r="AJ550" s="5" t="s">
        <v>2496</v>
      </c>
    </row>
    <row r="551" spans="1:36" ht="15" customHeight="1" x14ac:dyDescent="0.25">
      <c r="A551" s="5" t="s">
        <v>123</v>
      </c>
      <c r="B551" s="5" t="s">
        <v>426</v>
      </c>
      <c r="C551" s="5" t="s">
        <v>427</v>
      </c>
      <c r="D551" s="5" t="s">
        <v>2502</v>
      </c>
      <c r="E551" s="5">
        <v>55.93815</v>
      </c>
      <c r="F551" s="5">
        <v>-120.31753</v>
      </c>
      <c r="I551" s="6">
        <v>43114</v>
      </c>
      <c r="J551" s="6">
        <v>43117</v>
      </c>
      <c r="L551" s="5">
        <v>112</v>
      </c>
      <c r="P551" s="5"/>
      <c r="W551" s="5" t="s">
        <v>44</v>
      </c>
      <c r="AI551" s="5" t="s">
        <v>2495</v>
      </c>
      <c r="AJ551" s="5" t="s">
        <v>2496</v>
      </c>
    </row>
    <row r="552" spans="1:36" ht="15" customHeight="1" x14ac:dyDescent="0.25">
      <c r="A552" s="5" t="s">
        <v>123</v>
      </c>
      <c r="B552" s="5" t="s">
        <v>426</v>
      </c>
      <c r="C552" s="5" t="s">
        <v>427</v>
      </c>
      <c r="D552" s="5" t="s">
        <v>2503</v>
      </c>
      <c r="E552" s="5">
        <v>56.003720000000001</v>
      </c>
      <c r="F552" s="5">
        <v>-120.72037</v>
      </c>
      <c r="I552" s="6">
        <v>43161</v>
      </c>
      <c r="J552" s="6">
        <v>43170</v>
      </c>
      <c r="L552" s="5">
        <v>68</v>
      </c>
      <c r="P552" s="5"/>
      <c r="W552" s="5" t="s">
        <v>44</v>
      </c>
      <c r="AI552" s="5" t="s">
        <v>2495</v>
      </c>
      <c r="AJ552" s="5" t="s">
        <v>2496</v>
      </c>
    </row>
    <row r="553" spans="1:36" ht="15" customHeight="1" x14ac:dyDescent="0.25">
      <c r="A553" s="5" t="s">
        <v>123</v>
      </c>
      <c r="B553" s="5" t="s">
        <v>426</v>
      </c>
      <c r="C553" s="5" t="s">
        <v>427</v>
      </c>
      <c r="D553" s="5" t="s">
        <v>2504</v>
      </c>
      <c r="E553" s="5">
        <v>56.026389999999999</v>
      </c>
      <c r="F553" s="5">
        <v>-120.44523</v>
      </c>
      <c r="I553" s="6">
        <v>43186</v>
      </c>
      <c r="J553" s="6">
        <v>43187</v>
      </c>
      <c r="L553" s="5">
        <v>11</v>
      </c>
      <c r="P553" s="5"/>
      <c r="W553" s="5" t="s">
        <v>44</v>
      </c>
      <c r="AI553" s="5" t="s">
        <v>2495</v>
      </c>
      <c r="AJ553" s="5" t="s">
        <v>2496</v>
      </c>
    </row>
    <row r="554" spans="1:36" ht="15" customHeight="1" x14ac:dyDescent="0.25">
      <c r="A554" s="5" t="s">
        <v>123</v>
      </c>
      <c r="B554" s="5" t="s">
        <v>426</v>
      </c>
      <c r="C554" s="5" t="s">
        <v>427</v>
      </c>
      <c r="D554" s="5" t="s">
        <v>2505</v>
      </c>
      <c r="E554" s="5">
        <v>55.915529999999997</v>
      </c>
      <c r="F554" s="5">
        <v>-120.37076</v>
      </c>
      <c r="I554" s="6">
        <v>43195</v>
      </c>
      <c r="J554" s="6">
        <v>43200</v>
      </c>
      <c r="L554" s="5">
        <v>123</v>
      </c>
      <c r="P554" s="5"/>
      <c r="W554" s="5" t="s">
        <v>44</v>
      </c>
      <c r="AI554" s="5" t="s">
        <v>2495</v>
      </c>
      <c r="AJ554" s="5" t="s">
        <v>2496</v>
      </c>
    </row>
    <row r="555" spans="1:36" ht="15" customHeight="1" x14ac:dyDescent="0.25">
      <c r="A555" s="5" t="s">
        <v>123</v>
      </c>
      <c r="B555" s="5" t="s">
        <v>426</v>
      </c>
      <c r="C555" s="5" t="s">
        <v>427</v>
      </c>
      <c r="D555" s="5" t="s">
        <v>2506</v>
      </c>
      <c r="E555" s="5">
        <v>55.907420000000002</v>
      </c>
      <c r="F555" s="5">
        <v>-120.58825</v>
      </c>
      <c r="I555" s="6">
        <v>43205</v>
      </c>
      <c r="J555" s="6">
        <v>43212</v>
      </c>
      <c r="L555" s="5">
        <v>89</v>
      </c>
      <c r="P555" s="5"/>
      <c r="W555" s="5" t="s">
        <v>44</v>
      </c>
      <c r="AI555" s="5" t="s">
        <v>2495</v>
      </c>
      <c r="AJ555" s="5" t="s">
        <v>2496</v>
      </c>
    </row>
    <row r="556" spans="1:36" ht="15" customHeight="1" x14ac:dyDescent="0.25">
      <c r="A556" s="5" t="s">
        <v>123</v>
      </c>
      <c r="B556" s="5" t="s">
        <v>426</v>
      </c>
      <c r="C556" s="5" t="s">
        <v>427</v>
      </c>
      <c r="D556" s="5" t="s">
        <v>2507</v>
      </c>
      <c r="E556" s="5">
        <v>55.920029999999997</v>
      </c>
      <c r="F556" s="5">
        <v>-120.56586</v>
      </c>
      <c r="I556" s="6">
        <v>43222</v>
      </c>
      <c r="J556" s="6">
        <v>43234</v>
      </c>
      <c r="L556" s="5">
        <v>362</v>
      </c>
      <c r="P556" s="5"/>
      <c r="W556" s="5" t="s">
        <v>44</v>
      </c>
      <c r="AI556" s="5" t="s">
        <v>2495</v>
      </c>
      <c r="AJ556" s="5" t="s">
        <v>2496</v>
      </c>
    </row>
    <row r="557" spans="1:36" ht="15" customHeight="1" x14ac:dyDescent="0.25">
      <c r="A557" s="5" t="s">
        <v>123</v>
      </c>
      <c r="B557" s="5" t="s">
        <v>426</v>
      </c>
      <c r="C557" s="5" t="s">
        <v>427</v>
      </c>
      <c r="D557" s="5" t="s">
        <v>2508</v>
      </c>
      <c r="E557" s="5">
        <v>56.021030000000003</v>
      </c>
      <c r="F557" s="5">
        <v>-120.69596</v>
      </c>
      <c r="I557" s="6">
        <v>43238</v>
      </c>
      <c r="J557" s="6">
        <v>43246</v>
      </c>
      <c r="L557" s="5">
        <v>15</v>
      </c>
      <c r="P557" s="5"/>
      <c r="W557" s="5" t="s">
        <v>44</v>
      </c>
      <c r="AI557" s="5" t="s">
        <v>2495</v>
      </c>
      <c r="AJ557" s="5" t="s">
        <v>2496</v>
      </c>
    </row>
    <row r="558" spans="1:36" ht="15" customHeight="1" x14ac:dyDescent="0.25">
      <c r="A558" s="5" t="s">
        <v>123</v>
      </c>
      <c r="B558" s="5" t="s">
        <v>426</v>
      </c>
      <c r="C558" s="5" t="s">
        <v>427</v>
      </c>
      <c r="D558" s="5" t="s">
        <v>2509</v>
      </c>
      <c r="E558" s="5">
        <v>55.93233</v>
      </c>
      <c r="F558" s="5">
        <v>-120.31672</v>
      </c>
      <c r="I558" s="6">
        <v>43286</v>
      </c>
      <c r="J558" s="6">
        <v>43295</v>
      </c>
      <c r="L558" s="5">
        <v>228</v>
      </c>
      <c r="P558" s="5"/>
      <c r="W558" s="5" t="s">
        <v>44</v>
      </c>
      <c r="AI558" s="5" t="s">
        <v>2495</v>
      </c>
      <c r="AJ558" s="5" t="s">
        <v>2496</v>
      </c>
    </row>
    <row r="559" spans="1:36" ht="15" customHeight="1" x14ac:dyDescent="0.25">
      <c r="A559" s="5" t="s">
        <v>123</v>
      </c>
      <c r="B559" s="5" t="s">
        <v>426</v>
      </c>
      <c r="C559" s="5" t="s">
        <v>427</v>
      </c>
      <c r="D559" s="5" t="s">
        <v>2510</v>
      </c>
      <c r="E559" s="5">
        <v>55.913670000000003</v>
      </c>
      <c r="F559" s="5">
        <v>-120.44582</v>
      </c>
      <c r="I559" s="6">
        <v>43323</v>
      </c>
      <c r="J559" s="6">
        <v>43329</v>
      </c>
      <c r="L559" s="5">
        <v>341</v>
      </c>
      <c r="P559" s="5"/>
      <c r="W559" s="5" t="s">
        <v>44</v>
      </c>
      <c r="AI559" s="5" t="s">
        <v>2495</v>
      </c>
      <c r="AJ559" s="5" t="s">
        <v>2496</v>
      </c>
    </row>
    <row r="560" spans="1:36" ht="15" customHeight="1" x14ac:dyDescent="0.25">
      <c r="A560" s="5" t="s">
        <v>123</v>
      </c>
      <c r="B560" s="5" t="s">
        <v>426</v>
      </c>
      <c r="C560" s="5" t="s">
        <v>427</v>
      </c>
      <c r="D560" s="5" t="s">
        <v>2511</v>
      </c>
      <c r="E560" s="5">
        <v>55.997230000000002</v>
      </c>
      <c r="F560" s="5">
        <v>-120.38187000000001</v>
      </c>
      <c r="I560" s="6">
        <v>43341</v>
      </c>
      <c r="J560" s="6">
        <v>43346</v>
      </c>
      <c r="L560" s="5">
        <v>12</v>
      </c>
      <c r="P560" s="5"/>
      <c r="W560" s="5" t="s">
        <v>44</v>
      </c>
      <c r="AI560" s="5" t="s">
        <v>2495</v>
      </c>
      <c r="AJ560" s="5" t="s">
        <v>2496</v>
      </c>
    </row>
    <row r="561" spans="1:36" ht="15" customHeight="1" x14ac:dyDescent="0.25">
      <c r="A561" s="5" t="s">
        <v>123</v>
      </c>
      <c r="B561" s="5" t="s">
        <v>426</v>
      </c>
      <c r="C561" s="5" t="s">
        <v>427</v>
      </c>
      <c r="D561" s="5" t="s">
        <v>2512</v>
      </c>
      <c r="E561" s="5">
        <v>55.98997</v>
      </c>
      <c r="F561" s="5">
        <v>-120.61476</v>
      </c>
      <c r="I561" s="6">
        <v>43356</v>
      </c>
      <c r="J561" s="6">
        <v>43391</v>
      </c>
      <c r="L561" s="5">
        <v>445</v>
      </c>
      <c r="P561" s="5"/>
      <c r="W561" s="5" t="s">
        <v>44</v>
      </c>
      <c r="AI561" s="5" t="s">
        <v>2495</v>
      </c>
      <c r="AJ561" s="5" t="s">
        <v>2496</v>
      </c>
    </row>
    <row r="562" spans="1:36" ht="15" customHeight="1" x14ac:dyDescent="0.25">
      <c r="A562" s="5" t="s">
        <v>123</v>
      </c>
      <c r="B562" s="5" t="s">
        <v>426</v>
      </c>
      <c r="C562" s="5" t="s">
        <v>427</v>
      </c>
      <c r="D562" s="5" t="s">
        <v>2513</v>
      </c>
      <c r="E562" s="5">
        <v>56.039749999999998</v>
      </c>
      <c r="F562" s="5">
        <v>-120.70637000000001</v>
      </c>
      <c r="I562" s="6">
        <v>43433</v>
      </c>
      <c r="J562" s="6">
        <v>43434</v>
      </c>
      <c r="L562" s="5">
        <v>13</v>
      </c>
      <c r="P562" s="5"/>
      <c r="W562" s="5" t="s">
        <v>44</v>
      </c>
      <c r="AI562" s="5" t="s">
        <v>2495</v>
      </c>
      <c r="AJ562" s="5" t="s">
        <v>2496</v>
      </c>
    </row>
    <row r="563" spans="1:36" ht="15" customHeight="1" x14ac:dyDescent="0.25">
      <c r="A563" s="5" t="s">
        <v>123</v>
      </c>
      <c r="B563" s="5" t="s">
        <v>426</v>
      </c>
      <c r="C563" s="5" t="s">
        <v>427</v>
      </c>
      <c r="D563" s="5" t="s">
        <v>2514</v>
      </c>
      <c r="E563" s="5">
        <v>55.89723</v>
      </c>
      <c r="F563" s="5">
        <v>-120.38099</v>
      </c>
      <c r="I563" s="6">
        <v>43470</v>
      </c>
      <c r="J563" s="6">
        <v>43476</v>
      </c>
      <c r="L563" s="5">
        <v>149</v>
      </c>
      <c r="P563" s="5"/>
      <c r="W563" s="5" t="s">
        <v>44</v>
      </c>
      <c r="AI563" s="5" t="s">
        <v>2495</v>
      </c>
      <c r="AJ563" s="5" t="s">
        <v>2496</v>
      </c>
    </row>
    <row r="564" spans="1:36" ht="15" customHeight="1" x14ac:dyDescent="0.25">
      <c r="A564" s="5" t="s">
        <v>123</v>
      </c>
      <c r="B564" s="5" t="s">
        <v>426</v>
      </c>
      <c r="C564" s="5" t="s">
        <v>427</v>
      </c>
      <c r="D564" s="5" t="s">
        <v>2515</v>
      </c>
      <c r="E564" s="5">
        <v>55.999830000000003</v>
      </c>
      <c r="F564" s="5">
        <v>-120.61275999999999</v>
      </c>
      <c r="I564" s="6">
        <v>43479</v>
      </c>
      <c r="J564" s="6">
        <v>43496</v>
      </c>
      <c r="L564" s="5">
        <v>170</v>
      </c>
      <c r="P564" s="5"/>
      <c r="W564" s="5" t="s">
        <v>44</v>
      </c>
      <c r="AI564" s="5" t="s">
        <v>2495</v>
      </c>
      <c r="AJ564" s="5" t="s">
        <v>2496</v>
      </c>
    </row>
    <row r="565" spans="1:36" ht="15" customHeight="1" x14ac:dyDescent="0.25">
      <c r="A565" s="5" t="s">
        <v>123</v>
      </c>
      <c r="B565" s="5" t="s">
        <v>426</v>
      </c>
      <c r="C565" s="5" t="s">
        <v>427</v>
      </c>
      <c r="D565" s="5" t="s">
        <v>2516</v>
      </c>
      <c r="E565" s="5">
        <v>55.981729999999999</v>
      </c>
      <c r="F565" s="5">
        <v>-120.43465999999999</v>
      </c>
      <c r="I565" s="6">
        <v>43498</v>
      </c>
      <c r="J565" s="6">
        <v>43516</v>
      </c>
      <c r="L565" s="5">
        <v>1117</v>
      </c>
      <c r="P565" s="5"/>
      <c r="W565" s="5" t="s">
        <v>44</v>
      </c>
      <c r="AI565" s="5" t="s">
        <v>2495</v>
      </c>
      <c r="AJ565" s="5" t="s">
        <v>2496</v>
      </c>
    </row>
    <row r="566" spans="1:36" ht="15" customHeight="1" x14ac:dyDescent="0.25">
      <c r="A566" s="5" t="s">
        <v>123</v>
      </c>
      <c r="B566" s="5" t="s">
        <v>426</v>
      </c>
      <c r="C566" s="5" t="s">
        <v>427</v>
      </c>
      <c r="D566" s="5" t="s">
        <v>2517</v>
      </c>
      <c r="E566" s="5">
        <v>55.929130000000001</v>
      </c>
      <c r="F566" s="5">
        <v>-120.53643</v>
      </c>
      <c r="I566" s="6">
        <v>43555</v>
      </c>
      <c r="J566" s="6">
        <v>43567</v>
      </c>
      <c r="L566" s="5">
        <v>491</v>
      </c>
      <c r="P566" s="5"/>
      <c r="W566" s="5" t="s">
        <v>44</v>
      </c>
      <c r="AI566" s="5" t="s">
        <v>2495</v>
      </c>
      <c r="AJ566" s="5" t="s">
        <v>2496</v>
      </c>
    </row>
    <row r="567" spans="1:36" ht="15" customHeight="1" x14ac:dyDescent="0.25">
      <c r="A567" s="5" t="s">
        <v>508</v>
      </c>
      <c r="B567" s="5" t="s">
        <v>509</v>
      </c>
      <c r="C567" s="5" t="s">
        <v>510</v>
      </c>
      <c r="D567" s="5" t="s">
        <v>511</v>
      </c>
      <c r="E567" s="5">
        <v>32.412728000000001</v>
      </c>
      <c r="F567" s="5">
        <v>-115.243853</v>
      </c>
      <c r="G567" s="5" t="s">
        <v>512</v>
      </c>
      <c r="H567" s="6"/>
      <c r="M567" s="5">
        <v>6.6</v>
      </c>
      <c r="N567" s="5" t="s">
        <v>65</v>
      </c>
      <c r="O567" s="5">
        <v>10000</v>
      </c>
      <c r="P567" s="7">
        <v>29143</v>
      </c>
      <c r="Q567" s="5">
        <v>1979</v>
      </c>
      <c r="S567" s="5">
        <v>25000</v>
      </c>
      <c r="T567" s="5" t="s">
        <v>513</v>
      </c>
      <c r="V567" s="5" t="s">
        <v>342</v>
      </c>
      <c r="W567" s="5" t="s">
        <v>90</v>
      </c>
      <c r="X567" s="5" t="s">
        <v>514</v>
      </c>
      <c r="AA567" s="5">
        <f>((10*10^7)*1000)/(60*60*24*365)</f>
        <v>3170.9791983764585</v>
      </c>
      <c r="AB567" s="5" t="s">
        <v>118</v>
      </c>
      <c r="AC567" s="5">
        <v>1000000000</v>
      </c>
      <c r="AD567" s="5" t="s">
        <v>92</v>
      </c>
      <c r="AE567" s="9"/>
      <c r="AF567" s="8">
        <v>-3.5</v>
      </c>
      <c r="AG567" s="8" t="s">
        <v>515</v>
      </c>
      <c r="AH567" s="5" t="s">
        <v>516</v>
      </c>
      <c r="AI567" s="5" t="s">
        <v>517</v>
      </c>
      <c r="AJ567" s="5" t="s">
        <v>518</v>
      </c>
    </row>
    <row r="568" spans="1:36" x14ac:dyDescent="0.25">
      <c r="A568" s="14" t="s">
        <v>594</v>
      </c>
      <c r="B568" s="14" t="s">
        <v>509</v>
      </c>
      <c r="C568" s="5" t="s">
        <v>571</v>
      </c>
      <c r="D568" s="14" t="s">
        <v>2330</v>
      </c>
      <c r="E568" s="14">
        <v>65.583584000000002</v>
      </c>
      <c r="F568" s="14">
        <v>-18.064491</v>
      </c>
      <c r="G568" s="5" t="s">
        <v>2331</v>
      </c>
      <c r="L568" s="14"/>
      <c r="M568" s="14">
        <v>6.6</v>
      </c>
      <c r="N568" s="5" t="s">
        <v>65</v>
      </c>
      <c r="P568" s="13">
        <v>36694</v>
      </c>
      <c r="Q568" s="14">
        <v>2000</v>
      </c>
      <c r="R568" s="14"/>
      <c r="S568" s="14"/>
      <c r="T568" s="5" t="s">
        <v>667</v>
      </c>
      <c r="V568" s="5" t="s">
        <v>883</v>
      </c>
      <c r="W568" s="5" t="s">
        <v>597</v>
      </c>
      <c r="AA568" s="5" t="s">
        <v>2125</v>
      </c>
      <c r="AB568" s="5" t="s">
        <v>58</v>
      </c>
      <c r="AJ568" s="5" t="s">
        <v>2126</v>
      </c>
    </row>
    <row r="569" spans="1:36" x14ac:dyDescent="0.25">
      <c r="A569" s="5" t="s">
        <v>717</v>
      </c>
      <c r="B569" s="5" t="s">
        <v>509</v>
      </c>
      <c r="C569" s="5" t="s">
        <v>615</v>
      </c>
      <c r="D569" s="5" t="s">
        <v>2573</v>
      </c>
      <c r="E569" s="5">
        <v>36.106727999999997</v>
      </c>
      <c r="F569" s="5">
        <v>129.37826200000001</v>
      </c>
      <c r="G569" s="6">
        <v>42398</v>
      </c>
      <c r="H569" s="6">
        <v>42996</v>
      </c>
      <c r="I569" s="6">
        <v>42398</v>
      </c>
      <c r="L569" s="5">
        <v>216</v>
      </c>
      <c r="M569" s="5">
        <v>5.5</v>
      </c>
      <c r="N569" s="5" t="s">
        <v>40</v>
      </c>
      <c r="O569" s="5" t="s">
        <v>552</v>
      </c>
      <c r="P569" s="7">
        <v>43054</v>
      </c>
      <c r="Q569" s="5">
        <v>2017</v>
      </c>
      <c r="R569" s="5">
        <v>670</v>
      </c>
      <c r="S569" s="5">
        <v>3100</v>
      </c>
      <c r="T569" s="5" t="s">
        <v>718</v>
      </c>
      <c r="U569" s="5" t="s">
        <v>1584</v>
      </c>
      <c r="V569" s="5" t="s">
        <v>2574</v>
      </c>
      <c r="W569" s="5" t="s">
        <v>44</v>
      </c>
      <c r="AA569" s="5">
        <v>46.831000000000003</v>
      </c>
      <c r="AB569" s="5" t="s">
        <v>118</v>
      </c>
      <c r="AC569" s="5" t="s">
        <v>2575</v>
      </c>
      <c r="AD569" s="5" t="s">
        <v>92</v>
      </c>
      <c r="AE569" s="5">
        <v>89.2</v>
      </c>
      <c r="AI569" s="5" t="s">
        <v>2057</v>
      </c>
      <c r="AJ569" s="5" t="s">
        <v>2576</v>
      </c>
    </row>
    <row r="570" spans="1:36" ht="17.25" x14ac:dyDescent="0.25">
      <c r="A570" s="5" t="s">
        <v>51</v>
      </c>
      <c r="B570" s="5" t="s">
        <v>509</v>
      </c>
      <c r="C570" s="5" t="s">
        <v>519</v>
      </c>
      <c r="D570" s="5" t="s">
        <v>520</v>
      </c>
      <c r="E570" s="5">
        <v>33.163423999999999</v>
      </c>
      <c r="F570" s="5">
        <v>-115.61669999999999</v>
      </c>
      <c r="G570" s="5">
        <v>1982</v>
      </c>
      <c r="M570" s="5">
        <v>5.0999999999999996</v>
      </c>
      <c r="O570" s="5">
        <v>1207</v>
      </c>
      <c r="P570" s="7">
        <v>38597</v>
      </c>
      <c r="Q570" s="5">
        <v>2005</v>
      </c>
      <c r="V570" s="5">
        <v>2000</v>
      </c>
      <c r="W570" s="5" t="s">
        <v>90</v>
      </c>
      <c r="AA570" s="5" t="s">
        <v>521</v>
      </c>
      <c r="AB570" s="5" t="s">
        <v>118</v>
      </c>
      <c r="AC570" s="5" t="s">
        <v>522</v>
      </c>
      <c r="AD570" s="5" t="s">
        <v>92</v>
      </c>
      <c r="AH570" s="5" t="s">
        <v>523</v>
      </c>
      <c r="AI570" s="5" t="s">
        <v>2332</v>
      </c>
      <c r="AJ570" s="5" t="s">
        <v>524</v>
      </c>
    </row>
    <row r="571" spans="1:36" ht="17.25" x14ac:dyDescent="0.25">
      <c r="A571" s="14" t="s">
        <v>51</v>
      </c>
      <c r="B571" s="14" t="s">
        <v>509</v>
      </c>
      <c r="C571" s="5" t="s">
        <v>519</v>
      </c>
      <c r="D571" s="14" t="s">
        <v>525</v>
      </c>
      <c r="E571" s="14">
        <v>38.779057999999999</v>
      </c>
      <c r="F571" s="14">
        <v>-122.75414499999999</v>
      </c>
      <c r="G571" s="5">
        <v>1960</v>
      </c>
      <c r="L571" s="14" t="s">
        <v>526</v>
      </c>
      <c r="M571" s="14">
        <v>4.5999999999999996</v>
      </c>
      <c r="P571" s="14">
        <v>1982</v>
      </c>
      <c r="Q571" s="14">
        <v>1982</v>
      </c>
      <c r="R571" s="14"/>
      <c r="S571" s="14"/>
      <c r="T571" s="5" t="s">
        <v>527</v>
      </c>
      <c r="U571" s="5" t="s">
        <v>528</v>
      </c>
      <c r="V571" s="5" t="s">
        <v>295</v>
      </c>
      <c r="W571" s="5" t="s">
        <v>90</v>
      </c>
      <c r="X571" s="5" t="s">
        <v>529</v>
      </c>
      <c r="Z571" s="5">
        <v>75</v>
      </c>
      <c r="AA571" s="5" t="s">
        <v>530</v>
      </c>
      <c r="AB571" s="5" t="s">
        <v>118</v>
      </c>
      <c r="AC571" s="5" t="s">
        <v>531</v>
      </c>
      <c r="AD571" s="5" t="s">
        <v>92</v>
      </c>
      <c r="AF571" s="5">
        <v>-1.8</v>
      </c>
      <c r="AH571" s="5" t="s">
        <v>532</v>
      </c>
      <c r="AI571" s="5" t="s">
        <v>2333</v>
      </c>
      <c r="AJ571" s="5" t="s">
        <v>533</v>
      </c>
    </row>
    <row r="572" spans="1:36" ht="15" customHeight="1" x14ac:dyDescent="0.25">
      <c r="A572" s="5" t="s">
        <v>508</v>
      </c>
      <c r="B572" s="14" t="s">
        <v>509</v>
      </c>
      <c r="C572" s="5" t="s">
        <v>519</v>
      </c>
      <c r="D572" s="14" t="s">
        <v>534</v>
      </c>
      <c r="E572" s="14">
        <v>19.646003</v>
      </c>
      <c r="F572" s="14">
        <v>-97.437636999999995</v>
      </c>
      <c r="G572" s="5">
        <v>1990</v>
      </c>
      <c r="L572" s="14"/>
      <c r="M572" s="14">
        <v>4.5999999999999996</v>
      </c>
      <c r="N572" s="5" t="s">
        <v>535</v>
      </c>
      <c r="P572" s="13">
        <v>34663</v>
      </c>
      <c r="Q572" s="14">
        <v>1994</v>
      </c>
      <c r="R572" s="14"/>
      <c r="S572" s="14"/>
      <c r="U572" s="5" t="s">
        <v>536</v>
      </c>
      <c r="V572" s="5" t="s">
        <v>537</v>
      </c>
      <c r="W572" s="5" t="s">
        <v>73</v>
      </c>
      <c r="AA572" s="5" t="s">
        <v>538</v>
      </c>
      <c r="AB572" s="5" t="s">
        <v>118</v>
      </c>
      <c r="AH572" s="5" t="s">
        <v>539</v>
      </c>
      <c r="AI572" s="5" t="s">
        <v>540</v>
      </c>
      <c r="AJ572" s="5" t="s">
        <v>541</v>
      </c>
    </row>
    <row r="573" spans="1:36" ht="15" customHeight="1" x14ac:dyDescent="0.25">
      <c r="A573" s="14" t="s">
        <v>108</v>
      </c>
      <c r="B573" s="14" t="s">
        <v>509</v>
      </c>
      <c r="C573" s="5" t="s">
        <v>519</v>
      </c>
      <c r="D573" s="14" t="s">
        <v>554</v>
      </c>
      <c r="E573" s="14">
        <v>42.858111999999998</v>
      </c>
      <c r="F573" s="14">
        <v>11.704996</v>
      </c>
      <c r="G573" s="5">
        <v>1969</v>
      </c>
      <c r="L573" s="14"/>
      <c r="M573" s="14">
        <v>4.5</v>
      </c>
      <c r="N573" s="5" t="s">
        <v>40</v>
      </c>
      <c r="O573" s="5">
        <v>3930</v>
      </c>
      <c r="P573" s="7">
        <v>36617</v>
      </c>
      <c r="Q573" s="14">
        <v>2000</v>
      </c>
      <c r="R573" s="14"/>
      <c r="S573" s="14"/>
      <c r="T573" s="5" t="s">
        <v>555</v>
      </c>
      <c r="U573" s="5" t="s">
        <v>556</v>
      </c>
      <c r="V573" s="5" t="s">
        <v>557</v>
      </c>
      <c r="W573" s="5" t="s">
        <v>73</v>
      </c>
      <c r="X573" s="5" t="s">
        <v>558</v>
      </c>
      <c r="AH573" s="5" t="s">
        <v>559</v>
      </c>
      <c r="AJ573" s="5" t="s">
        <v>2017</v>
      </c>
    </row>
    <row r="574" spans="1:36" ht="15" customHeight="1" x14ac:dyDescent="0.25">
      <c r="A574" s="14" t="s">
        <v>542</v>
      </c>
      <c r="B574" s="14" t="s">
        <v>509</v>
      </c>
      <c r="C574" s="5" t="s">
        <v>543</v>
      </c>
      <c r="D574" s="14" t="s">
        <v>2334</v>
      </c>
      <c r="E574" s="14">
        <v>13.524806</v>
      </c>
      <c r="F574" s="14">
        <v>-88.508645999999999</v>
      </c>
      <c r="G574" s="5" t="s">
        <v>544</v>
      </c>
      <c r="H574" s="5" t="s">
        <v>545</v>
      </c>
      <c r="L574" s="14"/>
      <c r="M574" s="14">
        <v>4.4000000000000004</v>
      </c>
      <c r="N574" s="5" t="s">
        <v>65</v>
      </c>
      <c r="O574" s="5">
        <v>1834.9</v>
      </c>
      <c r="P574" s="13">
        <v>37880</v>
      </c>
      <c r="Q574" s="14">
        <v>2003</v>
      </c>
      <c r="R574" s="14">
        <v>3000</v>
      </c>
      <c r="S574" s="14"/>
      <c r="T574" s="5" t="s">
        <v>546</v>
      </c>
      <c r="W574" s="5" t="s">
        <v>73</v>
      </c>
      <c r="X574" s="5" t="s">
        <v>547</v>
      </c>
      <c r="AC574" s="5">
        <v>300000</v>
      </c>
      <c r="AD574" s="5" t="s">
        <v>92</v>
      </c>
      <c r="AI574" s="5" t="s">
        <v>548</v>
      </c>
      <c r="AJ574" s="5" t="s">
        <v>549</v>
      </c>
    </row>
    <row r="575" spans="1:36" ht="15" customHeight="1" x14ac:dyDescent="0.25">
      <c r="A575" s="14" t="s">
        <v>594</v>
      </c>
      <c r="B575" s="14" t="s">
        <v>509</v>
      </c>
      <c r="C575" s="5" t="s">
        <v>571</v>
      </c>
      <c r="D575" s="14" t="s">
        <v>2335</v>
      </c>
      <c r="E575" s="14">
        <v>64.037073000000007</v>
      </c>
      <c r="F575" s="14">
        <v>-21.393795000000001</v>
      </c>
      <c r="G575" s="5" t="s">
        <v>1993</v>
      </c>
      <c r="I575" s="5" t="s">
        <v>1993</v>
      </c>
      <c r="J575" s="5" t="s">
        <v>1456</v>
      </c>
      <c r="L575" s="14">
        <v>4600</v>
      </c>
      <c r="M575" s="14">
        <v>4</v>
      </c>
      <c r="P575" s="13">
        <v>40831</v>
      </c>
      <c r="Q575" s="14">
        <v>2011</v>
      </c>
      <c r="R575" s="14"/>
      <c r="S575" s="14"/>
      <c r="W575" s="5" t="s">
        <v>597</v>
      </c>
      <c r="AA575" s="5">
        <v>550</v>
      </c>
      <c r="AB575" s="5" t="s">
        <v>118</v>
      </c>
      <c r="AJ575" s="5" t="s">
        <v>2127</v>
      </c>
    </row>
    <row r="576" spans="1:36" ht="15" customHeight="1" x14ac:dyDescent="0.25">
      <c r="A576" s="14" t="s">
        <v>550</v>
      </c>
      <c r="B576" s="14" t="s">
        <v>509</v>
      </c>
      <c r="C576" s="5" t="s">
        <v>543</v>
      </c>
      <c r="D576" s="14" t="s">
        <v>587</v>
      </c>
      <c r="E576" s="14">
        <v>-27.815318999999999</v>
      </c>
      <c r="F576" s="14">
        <v>140.754976</v>
      </c>
      <c r="G576" s="6">
        <v>41227</v>
      </c>
      <c r="H576" s="6">
        <v>41243</v>
      </c>
      <c r="I576" s="6">
        <v>41227</v>
      </c>
      <c r="L576" s="14" t="s">
        <v>588</v>
      </c>
      <c r="M576" s="14">
        <v>3.9</v>
      </c>
      <c r="N576" s="5" t="s">
        <v>65</v>
      </c>
      <c r="O576" s="5">
        <v>5000</v>
      </c>
      <c r="P576" s="13">
        <v>41222</v>
      </c>
      <c r="Q576" s="14">
        <v>2012</v>
      </c>
      <c r="R576" s="14"/>
      <c r="S576" s="14"/>
      <c r="T576" s="5" t="s">
        <v>349</v>
      </c>
      <c r="V576" s="5">
        <v>4160</v>
      </c>
      <c r="W576" s="5" t="s">
        <v>44</v>
      </c>
      <c r="AA576" s="5">
        <v>60</v>
      </c>
      <c r="AB576" s="5" t="s">
        <v>118</v>
      </c>
      <c r="AC576" s="5">
        <v>34000</v>
      </c>
      <c r="AD576" s="5" t="s">
        <v>92</v>
      </c>
      <c r="AE576" s="5">
        <v>50</v>
      </c>
      <c r="AH576" s="5">
        <v>250</v>
      </c>
      <c r="AI576" s="5" t="s">
        <v>589</v>
      </c>
      <c r="AJ576" s="5" t="s">
        <v>2018</v>
      </c>
    </row>
    <row r="577" spans="1:36" ht="15" customHeight="1" x14ac:dyDescent="0.25">
      <c r="A577" s="14" t="s">
        <v>550</v>
      </c>
      <c r="B577" s="14" t="s">
        <v>509</v>
      </c>
      <c r="C577" s="5" t="s">
        <v>543</v>
      </c>
      <c r="D577" s="14" t="s">
        <v>551</v>
      </c>
      <c r="E577" s="14">
        <v>-27.815318999999999</v>
      </c>
      <c r="F577" s="14">
        <v>140.754976</v>
      </c>
      <c r="G577" s="6" t="s">
        <v>2019</v>
      </c>
      <c r="H577" s="6">
        <v>37978</v>
      </c>
      <c r="I577" s="6">
        <v>37931</v>
      </c>
      <c r="J577" s="6">
        <v>38448</v>
      </c>
      <c r="L577" s="14">
        <v>27000</v>
      </c>
      <c r="M577" s="14">
        <v>3.7</v>
      </c>
      <c r="N577" s="5" t="s">
        <v>40</v>
      </c>
      <c r="O577" s="5">
        <v>7000</v>
      </c>
      <c r="P577" s="13">
        <v>37939</v>
      </c>
      <c r="Q577" s="14">
        <v>2003</v>
      </c>
      <c r="R577" s="15"/>
      <c r="S577" s="14">
        <v>1800</v>
      </c>
      <c r="T577" s="5" t="s">
        <v>349</v>
      </c>
      <c r="U577" s="5" t="s">
        <v>552</v>
      </c>
      <c r="V577" s="5" t="s">
        <v>553</v>
      </c>
      <c r="W577" s="5" t="s">
        <v>44</v>
      </c>
      <c r="AA577" s="5">
        <v>48</v>
      </c>
      <c r="AB577" s="5" t="s">
        <v>118</v>
      </c>
      <c r="AC577" s="5">
        <v>20000</v>
      </c>
      <c r="AD577" s="5" t="s">
        <v>92</v>
      </c>
      <c r="AE577" s="5">
        <v>70</v>
      </c>
      <c r="AH577" s="5">
        <v>250</v>
      </c>
      <c r="AI577" s="5" t="s">
        <v>2020</v>
      </c>
      <c r="AJ577" s="5" t="s">
        <v>2021</v>
      </c>
    </row>
    <row r="578" spans="1:36" ht="15" customHeight="1" x14ac:dyDescent="0.25">
      <c r="A578" s="14" t="s">
        <v>189</v>
      </c>
      <c r="B578" s="14" t="s">
        <v>509</v>
      </c>
      <c r="C578" s="5" t="s">
        <v>509</v>
      </c>
      <c r="D578" s="5" t="s">
        <v>2405</v>
      </c>
      <c r="E578" s="5">
        <v>48.62</v>
      </c>
      <c r="F578" s="5">
        <v>7.8</v>
      </c>
      <c r="I578" s="6">
        <v>43773</v>
      </c>
      <c r="L578" s="5">
        <v>39</v>
      </c>
      <c r="M578" s="5">
        <v>3.6</v>
      </c>
      <c r="N578" s="5" t="s">
        <v>65</v>
      </c>
      <c r="P578" s="7">
        <v>44169</v>
      </c>
      <c r="Q578" s="5">
        <v>2020</v>
      </c>
      <c r="S578" s="5" t="s">
        <v>2128</v>
      </c>
      <c r="U578" s="5">
        <v>5000</v>
      </c>
      <c r="W578" s="5" t="s">
        <v>44</v>
      </c>
      <c r="AJ578" t="s">
        <v>2652</v>
      </c>
    </row>
    <row r="579" spans="1:36" ht="15" customHeight="1" x14ac:dyDescent="0.25">
      <c r="A579" s="14" t="s">
        <v>561</v>
      </c>
      <c r="B579" s="14" t="s">
        <v>509</v>
      </c>
      <c r="C579" s="5" t="s">
        <v>543</v>
      </c>
      <c r="D579" s="14" t="s">
        <v>562</v>
      </c>
      <c r="E579" s="14">
        <v>47.585487999999998</v>
      </c>
      <c r="F579" s="14">
        <v>7.595567</v>
      </c>
      <c r="G579" s="6">
        <v>39053</v>
      </c>
      <c r="H579" s="6">
        <v>39059</v>
      </c>
      <c r="I579" s="6">
        <v>39053</v>
      </c>
      <c r="J579" s="5" t="s">
        <v>563</v>
      </c>
      <c r="L579" s="14" t="s">
        <v>564</v>
      </c>
      <c r="M579" s="14">
        <v>3.4</v>
      </c>
      <c r="N579" s="5" t="s">
        <v>65</v>
      </c>
      <c r="O579" s="5">
        <v>4600</v>
      </c>
      <c r="P579" s="13">
        <v>39059</v>
      </c>
      <c r="Q579" s="14">
        <v>2006</v>
      </c>
      <c r="R579" s="15"/>
      <c r="S579" s="14"/>
      <c r="T579" s="5" t="s">
        <v>349</v>
      </c>
      <c r="V579" s="5" t="s">
        <v>565</v>
      </c>
      <c r="W579" s="5" t="s">
        <v>44</v>
      </c>
      <c r="X579" s="5" t="s">
        <v>566</v>
      </c>
      <c r="AA579" s="5">
        <v>62.5</v>
      </c>
      <c r="AB579" s="5" t="s">
        <v>118</v>
      </c>
      <c r="AC579" s="5">
        <v>11566</v>
      </c>
      <c r="AD579" s="5" t="s">
        <v>92</v>
      </c>
      <c r="AE579" s="5">
        <v>29.6</v>
      </c>
      <c r="AH579" s="5">
        <v>200</v>
      </c>
      <c r="AJ579" s="5" t="s">
        <v>567</v>
      </c>
    </row>
    <row r="580" spans="1:36" ht="15" customHeight="1" x14ac:dyDescent="0.25">
      <c r="A580" s="5" t="s">
        <v>758</v>
      </c>
      <c r="B580" s="5" t="s">
        <v>509</v>
      </c>
      <c r="C580" s="5" t="s">
        <v>571</v>
      </c>
      <c r="D580" s="5" t="s">
        <v>2518</v>
      </c>
      <c r="E580" s="5">
        <v>38.359295000000003</v>
      </c>
      <c r="F580" s="5">
        <v>28.407955999999999</v>
      </c>
      <c r="G580" s="6" t="s">
        <v>2519</v>
      </c>
      <c r="H580" s="6"/>
      <c r="M580" s="5">
        <v>3.4</v>
      </c>
      <c r="N580" s="5" t="s">
        <v>65</v>
      </c>
      <c r="U580" s="5" t="s">
        <v>2520</v>
      </c>
      <c r="V580" s="5" t="s">
        <v>2521</v>
      </c>
      <c r="W580" s="5" t="s">
        <v>1482</v>
      </c>
      <c r="AA580" s="5">
        <f>(15000*1000)/(60*60*24)</f>
        <v>173.61111111111111</v>
      </c>
      <c r="AB580" s="5" t="s">
        <v>118</v>
      </c>
      <c r="AI580" s="5" t="s">
        <v>2522</v>
      </c>
      <c r="AJ580" s="5" t="s">
        <v>2523</v>
      </c>
    </row>
    <row r="581" spans="1:36" ht="15" customHeight="1" x14ac:dyDescent="0.25">
      <c r="A581" s="5" t="s">
        <v>570</v>
      </c>
      <c r="B581" s="5" t="s">
        <v>509</v>
      </c>
      <c r="C581" s="5" t="s">
        <v>571</v>
      </c>
      <c r="D581" s="5" t="s">
        <v>572</v>
      </c>
      <c r="E581" s="5">
        <v>-38.613816</v>
      </c>
      <c r="F581" s="5">
        <v>176.18411599999999</v>
      </c>
      <c r="G581" s="6" t="s">
        <v>573</v>
      </c>
      <c r="H581" s="6"/>
      <c r="I581" s="5">
        <v>2005</v>
      </c>
      <c r="J581" s="6"/>
      <c r="L581" s="10" t="s">
        <v>574</v>
      </c>
      <c r="M581" s="5">
        <v>3.3</v>
      </c>
      <c r="P581" s="7" t="s">
        <v>575</v>
      </c>
      <c r="Q581" s="5">
        <v>2012</v>
      </c>
      <c r="S581" s="5">
        <v>1000</v>
      </c>
      <c r="T581" s="5" t="s">
        <v>576</v>
      </c>
      <c r="U581" s="5" t="s">
        <v>342</v>
      </c>
      <c r="V581" s="5" t="s">
        <v>577</v>
      </c>
      <c r="W581" s="5" t="s">
        <v>90</v>
      </c>
      <c r="AA581" s="5" t="s">
        <v>578</v>
      </c>
      <c r="AB581" s="5" t="s">
        <v>118</v>
      </c>
      <c r="AE581" s="5">
        <v>1</v>
      </c>
      <c r="AH581" s="5" t="s">
        <v>579</v>
      </c>
      <c r="AI581" s="5" t="s">
        <v>580</v>
      </c>
      <c r="AJ581" s="5" t="s">
        <v>581</v>
      </c>
    </row>
    <row r="582" spans="1:36" ht="15" customHeight="1" x14ac:dyDescent="0.25">
      <c r="A582" s="14" t="s">
        <v>561</v>
      </c>
      <c r="B582" s="14" t="s">
        <v>509</v>
      </c>
      <c r="C582" s="5" t="s">
        <v>2022</v>
      </c>
      <c r="D582" s="14" t="s">
        <v>568</v>
      </c>
      <c r="E582" s="14">
        <v>47.415719000000003</v>
      </c>
      <c r="F582" s="14">
        <v>9.3293379999999999</v>
      </c>
      <c r="G582" s="6" t="s">
        <v>2392</v>
      </c>
      <c r="H582" s="6" t="s">
        <v>2393</v>
      </c>
      <c r="I582" s="5" t="s">
        <v>2394</v>
      </c>
      <c r="J582" s="5" t="s">
        <v>2395</v>
      </c>
      <c r="L582" s="16" t="s">
        <v>2023</v>
      </c>
      <c r="M582" s="14">
        <v>3.3</v>
      </c>
      <c r="N582" s="5" t="s">
        <v>40</v>
      </c>
      <c r="P582" s="13">
        <v>41475</v>
      </c>
      <c r="Q582" s="14">
        <v>2013</v>
      </c>
      <c r="R582" s="15"/>
      <c r="S582" s="14"/>
      <c r="T582" s="5" t="s">
        <v>116</v>
      </c>
      <c r="U582" s="5" t="s">
        <v>2024</v>
      </c>
      <c r="V582" s="5">
        <v>4253</v>
      </c>
      <c r="W582" s="5" t="s">
        <v>44</v>
      </c>
      <c r="X582" s="5" t="s">
        <v>569</v>
      </c>
      <c r="AA582" s="5">
        <v>54</v>
      </c>
      <c r="AB582" s="5" t="s">
        <v>118</v>
      </c>
      <c r="AC582" s="5">
        <v>1175</v>
      </c>
      <c r="AD582" s="5" t="s">
        <v>92</v>
      </c>
      <c r="AE582" s="5">
        <v>9</v>
      </c>
      <c r="AH582" s="5">
        <v>145</v>
      </c>
      <c r="AI582" s="5" t="s">
        <v>2025</v>
      </c>
      <c r="AJ582" s="5" t="s">
        <v>2396</v>
      </c>
    </row>
    <row r="583" spans="1:36" ht="15" customHeight="1" x14ac:dyDescent="0.25">
      <c r="A583" s="14" t="s">
        <v>108</v>
      </c>
      <c r="B583" s="5" t="s">
        <v>509</v>
      </c>
      <c r="C583" s="5" t="s">
        <v>519</v>
      </c>
      <c r="D583" s="14" t="s">
        <v>582</v>
      </c>
      <c r="E583" s="14">
        <v>43.227196999999997</v>
      </c>
      <c r="F583" s="14">
        <v>10.883841</v>
      </c>
      <c r="G583" s="5">
        <v>1977</v>
      </c>
      <c r="H583" s="5">
        <v>1977</v>
      </c>
      <c r="L583" s="14"/>
      <c r="M583" s="14">
        <v>3.2</v>
      </c>
      <c r="N583" s="5" t="s">
        <v>65</v>
      </c>
      <c r="O583" s="5">
        <v>5000</v>
      </c>
      <c r="P583" s="14">
        <v>1982</v>
      </c>
      <c r="Q583" s="14">
        <v>1982</v>
      </c>
      <c r="R583" s="14"/>
      <c r="S583" s="14"/>
      <c r="T583" s="5" t="s">
        <v>116</v>
      </c>
      <c r="U583" s="5" t="s">
        <v>583</v>
      </c>
      <c r="V583" s="5">
        <v>2000</v>
      </c>
      <c r="W583" s="5" t="s">
        <v>73</v>
      </c>
      <c r="AC583" s="5">
        <v>19000000</v>
      </c>
      <c r="AD583" s="5" t="s">
        <v>92</v>
      </c>
      <c r="AI583" s="5" t="s">
        <v>2336</v>
      </c>
      <c r="AJ583" s="5" t="s">
        <v>584</v>
      </c>
    </row>
    <row r="584" spans="1:36" ht="15" customHeight="1" x14ac:dyDescent="0.25">
      <c r="A584" s="5" t="s">
        <v>570</v>
      </c>
      <c r="B584" s="5" t="s">
        <v>509</v>
      </c>
      <c r="C584" s="5" t="s">
        <v>571</v>
      </c>
      <c r="D584" s="5" t="s">
        <v>585</v>
      </c>
      <c r="E584" s="5">
        <v>-38.531536000000003</v>
      </c>
      <c r="F584" s="5">
        <v>175.92810900000001</v>
      </c>
      <c r="G584" s="5">
        <v>2000</v>
      </c>
      <c r="M584" s="5">
        <v>3.2</v>
      </c>
      <c r="W584" s="5" t="s">
        <v>90</v>
      </c>
      <c r="AJ584" s="5" t="s">
        <v>586</v>
      </c>
    </row>
    <row r="585" spans="1:36" ht="15" customHeight="1" x14ac:dyDescent="0.25">
      <c r="A585" s="14" t="s">
        <v>594</v>
      </c>
      <c r="B585" s="14" t="s">
        <v>509</v>
      </c>
      <c r="C585" s="5" t="s">
        <v>571</v>
      </c>
      <c r="D585" s="14" t="s">
        <v>739</v>
      </c>
      <c r="E585" s="14">
        <v>63.878922000000003</v>
      </c>
      <c r="F585" s="14">
        <v>-22.432912999999999</v>
      </c>
      <c r="G585" s="5">
        <v>2001</v>
      </c>
      <c r="I585" s="5" t="s">
        <v>931</v>
      </c>
      <c r="J585" s="5" t="s">
        <v>1163</v>
      </c>
      <c r="L585" s="14">
        <v>82</v>
      </c>
      <c r="M585" s="14">
        <v>3.2</v>
      </c>
      <c r="N585" s="5" t="s">
        <v>65</v>
      </c>
      <c r="P585" s="13"/>
      <c r="Q585" s="14"/>
      <c r="R585" s="14"/>
      <c r="S585" s="14"/>
      <c r="T585" s="5" t="s">
        <v>667</v>
      </c>
      <c r="U585" s="5" t="s">
        <v>2128</v>
      </c>
      <c r="V585" s="5" t="s">
        <v>2129</v>
      </c>
      <c r="W585" s="5" t="s">
        <v>597</v>
      </c>
      <c r="AA585" s="5">
        <v>244</v>
      </c>
      <c r="AB585" s="5" t="s">
        <v>58</v>
      </c>
      <c r="AH585" s="5">
        <v>240</v>
      </c>
      <c r="AJ585" s="5" t="s">
        <v>2126</v>
      </c>
    </row>
    <row r="586" spans="1:36" ht="15" customHeight="1" x14ac:dyDescent="0.25">
      <c r="A586" s="14" t="s">
        <v>594</v>
      </c>
      <c r="B586" s="14" t="s">
        <v>509</v>
      </c>
      <c r="C586" s="5" t="s">
        <v>571</v>
      </c>
      <c r="D586" s="5" t="s">
        <v>2130</v>
      </c>
      <c r="E586" s="5">
        <v>64.108255</v>
      </c>
      <c r="F586" s="5">
        <v>-21.256754999999998</v>
      </c>
      <c r="G586" s="5">
        <v>2004</v>
      </c>
      <c r="M586" s="5">
        <v>3.2</v>
      </c>
      <c r="N586" s="5" t="s">
        <v>65</v>
      </c>
      <c r="V586" s="5" t="s">
        <v>2131</v>
      </c>
      <c r="W586" s="5" t="s">
        <v>597</v>
      </c>
      <c r="AA586" s="5">
        <v>160</v>
      </c>
      <c r="AB586" s="5" t="s">
        <v>118</v>
      </c>
      <c r="AJ586" s="5" t="s">
        <v>2132</v>
      </c>
    </row>
    <row r="587" spans="1:36" ht="15" customHeight="1" x14ac:dyDescent="0.25">
      <c r="A587" s="5" t="s">
        <v>108</v>
      </c>
      <c r="B587" s="5" t="s">
        <v>509</v>
      </c>
      <c r="C587" s="5" t="s">
        <v>543</v>
      </c>
      <c r="D587" s="14" t="s">
        <v>590</v>
      </c>
      <c r="E587" s="14">
        <v>42.744635000000002</v>
      </c>
      <c r="F587" s="14">
        <v>11.945754000000001</v>
      </c>
      <c r="G587" s="5" t="s">
        <v>591</v>
      </c>
      <c r="H587" s="5" t="s">
        <v>591</v>
      </c>
      <c r="L587" s="14"/>
      <c r="M587" s="14">
        <v>3</v>
      </c>
      <c r="N587" s="5" t="s">
        <v>65</v>
      </c>
      <c r="P587" s="14">
        <v>1977</v>
      </c>
      <c r="Q587" s="14">
        <v>1977</v>
      </c>
      <c r="R587" s="14"/>
      <c r="S587" s="14">
        <v>2000</v>
      </c>
      <c r="T587" s="5" t="s">
        <v>116</v>
      </c>
      <c r="U587" s="5" t="s">
        <v>592</v>
      </c>
      <c r="V587" s="5">
        <v>2000</v>
      </c>
      <c r="W587" s="5" t="s">
        <v>73</v>
      </c>
      <c r="AA587" s="5">
        <v>40</v>
      </c>
      <c r="AB587" s="5" t="s">
        <v>118</v>
      </c>
      <c r="AC587" s="5">
        <v>4200</v>
      </c>
      <c r="AD587" s="5" t="s">
        <v>92</v>
      </c>
      <c r="AE587" s="5">
        <v>1.2</v>
      </c>
      <c r="AH587" s="5" t="s">
        <v>593</v>
      </c>
      <c r="AJ587" s="5" t="s">
        <v>560</v>
      </c>
    </row>
    <row r="588" spans="1:36" ht="15" customHeight="1" x14ac:dyDescent="0.25">
      <c r="A588" s="5" t="s">
        <v>542</v>
      </c>
      <c r="B588" s="5" t="s">
        <v>509</v>
      </c>
      <c r="C588" s="5" t="s">
        <v>543</v>
      </c>
      <c r="D588" s="5" t="s">
        <v>598</v>
      </c>
      <c r="E588" s="5">
        <v>13.92066</v>
      </c>
      <c r="F588" s="5">
        <v>-89.817729</v>
      </c>
      <c r="G588" s="5">
        <v>1991</v>
      </c>
      <c r="M588" s="5">
        <v>3</v>
      </c>
      <c r="N588" s="5" t="s">
        <v>65</v>
      </c>
      <c r="O588" s="5">
        <v>1500</v>
      </c>
      <c r="P588" s="5">
        <v>1991</v>
      </c>
      <c r="Q588" s="5">
        <v>1991</v>
      </c>
      <c r="V588" s="5" t="s">
        <v>599</v>
      </c>
      <c r="W588" s="5" t="s">
        <v>73</v>
      </c>
      <c r="AC588" s="5">
        <v>20000</v>
      </c>
      <c r="AD588" s="5" t="s">
        <v>92</v>
      </c>
      <c r="AI588" s="5" t="s">
        <v>2336</v>
      </c>
      <c r="AJ588" s="5" t="s">
        <v>600</v>
      </c>
    </row>
    <row r="589" spans="1:36" ht="15" customHeight="1" x14ac:dyDescent="0.25">
      <c r="A589" s="14" t="s">
        <v>594</v>
      </c>
      <c r="B589" s="14" t="s">
        <v>509</v>
      </c>
      <c r="C589" s="5" t="s">
        <v>2133</v>
      </c>
      <c r="D589" s="14" t="s">
        <v>595</v>
      </c>
      <c r="E589" s="14">
        <v>63.825755000000001</v>
      </c>
      <c r="F589" s="14">
        <v>-22.681858999999999</v>
      </c>
      <c r="G589" s="5" t="s">
        <v>2134</v>
      </c>
      <c r="I589" s="6">
        <v>38868</v>
      </c>
      <c r="J589" s="6">
        <v>39637</v>
      </c>
      <c r="L589" s="14" t="s">
        <v>596</v>
      </c>
      <c r="M589" s="14">
        <v>3</v>
      </c>
      <c r="N589" s="5" t="s">
        <v>65</v>
      </c>
      <c r="P589" s="14">
        <v>2006</v>
      </c>
      <c r="Q589" s="14">
        <v>2006</v>
      </c>
      <c r="R589" s="14"/>
      <c r="S589" s="14"/>
      <c r="T589" s="5" t="s">
        <v>513</v>
      </c>
      <c r="V589" s="5" t="s">
        <v>890</v>
      </c>
      <c r="W589" s="5" t="s">
        <v>597</v>
      </c>
      <c r="AA589" s="5" t="s">
        <v>2135</v>
      </c>
      <c r="AB589" s="5" t="s">
        <v>58</v>
      </c>
      <c r="AC589" s="5">
        <v>70600000</v>
      </c>
      <c r="AD589" s="5" t="s">
        <v>92</v>
      </c>
      <c r="AF589" s="5">
        <v>-3</v>
      </c>
      <c r="AI589" s="5" t="s">
        <v>2136</v>
      </c>
      <c r="AJ589" s="14" t="s">
        <v>2337</v>
      </c>
    </row>
    <row r="590" spans="1:36" ht="15" customHeight="1" x14ac:dyDescent="0.25">
      <c r="A590" s="14" t="s">
        <v>108</v>
      </c>
      <c r="B590" s="5" t="s">
        <v>509</v>
      </c>
      <c r="C590" s="5" t="s">
        <v>543</v>
      </c>
      <c r="D590" s="14" t="s">
        <v>605</v>
      </c>
      <c r="E590" s="14">
        <v>42.613328000000003</v>
      </c>
      <c r="F590" s="14">
        <v>11.815375</v>
      </c>
      <c r="G590" s="5" t="s">
        <v>606</v>
      </c>
      <c r="H590" s="5">
        <v>2008</v>
      </c>
      <c r="L590" s="14"/>
      <c r="M590" s="14">
        <v>2.9</v>
      </c>
      <c r="N590" s="5" t="s">
        <v>65</v>
      </c>
      <c r="P590" s="13">
        <v>31025</v>
      </c>
      <c r="Q590" s="14">
        <v>1984</v>
      </c>
      <c r="R590" s="14"/>
      <c r="S590" s="14"/>
      <c r="T590" s="5" t="s">
        <v>116</v>
      </c>
      <c r="V590" s="5" t="s">
        <v>607</v>
      </c>
      <c r="W590" s="5" t="s">
        <v>73</v>
      </c>
      <c r="AH590" s="5" t="s">
        <v>608</v>
      </c>
      <c r="AJ590" s="5" t="s">
        <v>560</v>
      </c>
    </row>
    <row r="591" spans="1:36" ht="15" customHeight="1" x14ac:dyDescent="0.25">
      <c r="A591" s="14" t="s">
        <v>189</v>
      </c>
      <c r="B591" s="14" t="s">
        <v>509</v>
      </c>
      <c r="C591" s="5" t="s">
        <v>543</v>
      </c>
      <c r="D591" s="14" t="s">
        <v>609</v>
      </c>
      <c r="E591" s="14">
        <v>48.93092</v>
      </c>
      <c r="F591" s="14">
        <v>7.8666910000000003</v>
      </c>
      <c r="G591" s="6">
        <v>37768</v>
      </c>
      <c r="H591" s="6">
        <v>37779</v>
      </c>
      <c r="I591" s="6">
        <v>37768</v>
      </c>
      <c r="L591" s="14" t="s">
        <v>610</v>
      </c>
      <c r="M591" s="14">
        <v>2.9</v>
      </c>
      <c r="N591" s="5" t="s">
        <v>65</v>
      </c>
      <c r="P591" s="13">
        <v>37782</v>
      </c>
      <c r="Q591" s="14">
        <v>2003</v>
      </c>
      <c r="R591" s="15"/>
      <c r="S591" s="14"/>
      <c r="T591" s="5" t="s">
        <v>349</v>
      </c>
      <c r="U591" s="5" t="s">
        <v>611</v>
      </c>
      <c r="V591" s="5" t="s">
        <v>612</v>
      </c>
      <c r="W591" s="5" t="s">
        <v>44</v>
      </c>
      <c r="AA591" s="5">
        <v>80</v>
      </c>
      <c r="AB591" s="5" t="s">
        <v>118</v>
      </c>
      <c r="AC591" s="5">
        <v>40000</v>
      </c>
      <c r="AD591" s="5" t="s">
        <v>92</v>
      </c>
      <c r="AI591" s="5" t="s">
        <v>613</v>
      </c>
      <c r="AJ591" s="5" t="s">
        <v>614</v>
      </c>
    </row>
    <row r="592" spans="1:36" ht="15" customHeight="1" x14ac:dyDescent="0.25">
      <c r="A592" s="14" t="s">
        <v>550</v>
      </c>
      <c r="B592" s="14" t="s">
        <v>509</v>
      </c>
      <c r="C592" s="5" t="s">
        <v>543</v>
      </c>
      <c r="D592" s="14" t="s">
        <v>601</v>
      </c>
      <c r="E592" s="14">
        <v>-27.815318999999999</v>
      </c>
      <c r="F592" s="14">
        <v>140.754976</v>
      </c>
      <c r="G592" s="6">
        <v>38607</v>
      </c>
      <c r="H592" s="6">
        <v>38620</v>
      </c>
      <c r="I592" s="6">
        <v>38607</v>
      </c>
      <c r="J592" s="6"/>
      <c r="L592" s="14" t="s">
        <v>603</v>
      </c>
      <c r="M592" s="14">
        <v>2.9</v>
      </c>
      <c r="N592" s="5" t="s">
        <v>65</v>
      </c>
      <c r="O592" s="5">
        <v>2000</v>
      </c>
      <c r="P592" s="13">
        <v>38608</v>
      </c>
      <c r="Q592" s="14">
        <v>2005</v>
      </c>
      <c r="R592" s="14"/>
      <c r="S592" s="14"/>
      <c r="T592" s="5" t="s">
        <v>349</v>
      </c>
      <c r="U592" s="5">
        <v>4250</v>
      </c>
      <c r="V592" s="5">
        <v>4250</v>
      </c>
      <c r="W592" s="5" t="s">
        <v>44</v>
      </c>
      <c r="AA592" s="5">
        <v>31</v>
      </c>
      <c r="AB592" s="5" t="s">
        <v>118</v>
      </c>
      <c r="AC592" s="5">
        <v>22500</v>
      </c>
      <c r="AD592" s="5" t="s">
        <v>92</v>
      </c>
      <c r="AE592" s="5">
        <v>62</v>
      </c>
      <c r="AH592" s="5">
        <v>250</v>
      </c>
      <c r="AI592" s="5" t="s">
        <v>604</v>
      </c>
      <c r="AJ592" s="5" t="s">
        <v>2026</v>
      </c>
    </row>
    <row r="593" spans="1:36" x14ac:dyDescent="0.25">
      <c r="A593" s="14" t="s">
        <v>51</v>
      </c>
      <c r="B593" s="5" t="s">
        <v>509</v>
      </c>
      <c r="C593" s="5" t="s">
        <v>615</v>
      </c>
      <c r="D593" s="14" t="s">
        <v>616</v>
      </c>
      <c r="E593" s="14">
        <v>36.037357999999998</v>
      </c>
      <c r="F593" s="14">
        <v>-117.79780599999999</v>
      </c>
      <c r="G593" s="6">
        <v>38205</v>
      </c>
      <c r="H593" s="6">
        <v>38217</v>
      </c>
      <c r="L593" s="14" t="s">
        <v>617</v>
      </c>
      <c r="M593" s="14">
        <v>2.8</v>
      </c>
      <c r="P593" s="14" t="s">
        <v>618</v>
      </c>
      <c r="Q593" s="14">
        <v>2004</v>
      </c>
      <c r="R593" s="14"/>
      <c r="S593" s="14"/>
      <c r="T593" s="5" t="s">
        <v>619</v>
      </c>
      <c r="V593" s="5">
        <v>2956</v>
      </c>
      <c r="W593" s="5" t="s">
        <v>90</v>
      </c>
      <c r="X593" s="5" t="s">
        <v>620</v>
      </c>
      <c r="AA593" s="5">
        <f>1400/(60*60)</f>
        <v>0.3888888888888889</v>
      </c>
      <c r="AB593" s="5" t="s">
        <v>118</v>
      </c>
      <c r="AE593" s="5">
        <v>0.41</v>
      </c>
      <c r="AH593" s="10" t="s">
        <v>621</v>
      </c>
      <c r="AI593" s="5" t="s">
        <v>622</v>
      </c>
      <c r="AJ593" s="5" t="s">
        <v>623</v>
      </c>
    </row>
    <row r="594" spans="1:36" x14ac:dyDescent="0.25">
      <c r="A594" s="5" t="s">
        <v>164</v>
      </c>
      <c r="B594" s="14" t="s">
        <v>509</v>
      </c>
      <c r="C594" s="5" t="s">
        <v>519</v>
      </c>
      <c r="D594" s="5" t="s">
        <v>624</v>
      </c>
      <c r="E594" s="5">
        <v>49.186672000000002</v>
      </c>
      <c r="F594" s="5">
        <v>8.1229119999999995</v>
      </c>
      <c r="G594" s="5">
        <v>2007</v>
      </c>
      <c r="I594" s="5" t="s">
        <v>625</v>
      </c>
      <c r="L594" s="5" t="s">
        <v>626</v>
      </c>
      <c r="M594" s="5">
        <v>2.7</v>
      </c>
      <c r="N594" s="5" t="s">
        <v>65</v>
      </c>
      <c r="O594" s="5" t="s">
        <v>627</v>
      </c>
      <c r="P594" s="7">
        <v>40040</v>
      </c>
      <c r="Q594" s="5">
        <v>2009</v>
      </c>
      <c r="R594" s="5" t="s">
        <v>205</v>
      </c>
      <c r="T594" s="5" t="s">
        <v>628</v>
      </c>
      <c r="V594" s="5">
        <v>3000</v>
      </c>
      <c r="W594" s="5" t="s">
        <v>44</v>
      </c>
      <c r="AA594" s="5">
        <v>70</v>
      </c>
      <c r="AB594" s="5" t="s">
        <v>118</v>
      </c>
      <c r="AE594" s="5">
        <v>6</v>
      </c>
      <c r="AJ594" s="5" t="s">
        <v>629</v>
      </c>
    </row>
    <row r="595" spans="1:36" x14ac:dyDescent="0.25">
      <c r="A595" s="5" t="s">
        <v>570</v>
      </c>
      <c r="B595" s="5" t="s">
        <v>509</v>
      </c>
      <c r="C595" s="5" t="s">
        <v>571</v>
      </c>
      <c r="D595" s="5" t="s">
        <v>630</v>
      </c>
      <c r="E595" s="5">
        <v>-38.546191</v>
      </c>
      <c r="F595" s="5">
        <v>176.195257</v>
      </c>
      <c r="G595" s="5" t="s">
        <v>631</v>
      </c>
      <c r="M595" s="5">
        <v>2.7</v>
      </c>
      <c r="W595" s="5" t="s">
        <v>90</v>
      </c>
      <c r="AJ595" s="5" t="s">
        <v>586</v>
      </c>
    </row>
    <row r="596" spans="1:36" x14ac:dyDescent="0.25">
      <c r="A596" s="5" t="s">
        <v>2137</v>
      </c>
      <c r="B596" s="5" t="s">
        <v>509</v>
      </c>
      <c r="C596" s="5" t="s">
        <v>510</v>
      </c>
      <c r="D596" s="5" t="s">
        <v>2138</v>
      </c>
      <c r="E596" s="5">
        <v>55.44</v>
      </c>
      <c r="F596" s="5">
        <v>21.49</v>
      </c>
      <c r="G596" s="5">
        <v>2000</v>
      </c>
      <c r="M596" s="5">
        <v>2.6</v>
      </c>
      <c r="N596" s="5" t="s">
        <v>65</v>
      </c>
      <c r="O596" s="5">
        <v>1000</v>
      </c>
      <c r="P596" s="7">
        <v>42167</v>
      </c>
      <c r="Q596" s="5">
        <v>2015</v>
      </c>
      <c r="W596" s="5" t="s">
        <v>44</v>
      </c>
      <c r="AJ596" s="5" t="s">
        <v>2139</v>
      </c>
    </row>
    <row r="597" spans="1:36" x14ac:dyDescent="0.25">
      <c r="A597" s="14" t="s">
        <v>638</v>
      </c>
      <c r="B597" s="5" t="s">
        <v>509</v>
      </c>
      <c r="C597" s="5" t="s">
        <v>510</v>
      </c>
      <c r="D597" s="14" t="s">
        <v>639</v>
      </c>
      <c r="E597" s="14">
        <v>-0.87981399999999998</v>
      </c>
      <c r="F597" s="14">
        <v>36.287579999999998</v>
      </c>
      <c r="G597" s="5" t="s">
        <v>640</v>
      </c>
      <c r="H597" s="5" t="s">
        <v>641</v>
      </c>
      <c r="L597" s="14" t="s">
        <v>642</v>
      </c>
      <c r="M597" s="14">
        <v>2.5</v>
      </c>
      <c r="N597" s="5" t="s">
        <v>535</v>
      </c>
      <c r="P597" s="14">
        <v>1996</v>
      </c>
      <c r="Q597" s="14">
        <v>1996</v>
      </c>
      <c r="R597" s="14"/>
      <c r="S597" s="14"/>
      <c r="T597" s="5" t="s">
        <v>513</v>
      </c>
      <c r="U597" s="5" t="s">
        <v>643</v>
      </c>
      <c r="W597" s="5" t="s">
        <v>597</v>
      </c>
      <c r="Z597" s="5">
        <v>35</v>
      </c>
      <c r="AJ597" s="5" t="s">
        <v>644</v>
      </c>
    </row>
    <row r="598" spans="1:36" x14ac:dyDescent="0.25">
      <c r="A598" s="14" t="s">
        <v>550</v>
      </c>
      <c r="B598" s="14" t="s">
        <v>509</v>
      </c>
      <c r="C598" s="5" t="s">
        <v>543</v>
      </c>
      <c r="D598" s="14" t="s">
        <v>632</v>
      </c>
      <c r="E598" s="14">
        <v>-30.193843000000001</v>
      </c>
      <c r="F598" s="14">
        <v>139.69747000000001</v>
      </c>
      <c r="G598" s="6">
        <v>40734</v>
      </c>
      <c r="H598" s="6">
        <v>40739</v>
      </c>
      <c r="I598" s="6">
        <v>40734</v>
      </c>
      <c r="J598" s="6">
        <v>40741</v>
      </c>
      <c r="L598" s="14">
        <v>7085</v>
      </c>
      <c r="M598" s="14">
        <v>2.5</v>
      </c>
      <c r="N598" s="5" t="s">
        <v>40</v>
      </c>
      <c r="O598" s="5">
        <v>3990</v>
      </c>
      <c r="P598" s="13">
        <v>40860</v>
      </c>
      <c r="Q598" s="14">
        <v>2011</v>
      </c>
      <c r="R598" s="15"/>
      <c r="S598" s="14">
        <v>3000</v>
      </c>
      <c r="T598" s="5" t="s">
        <v>633</v>
      </c>
      <c r="U598" s="5" t="s">
        <v>634</v>
      </c>
      <c r="V598" s="5" t="s">
        <v>635</v>
      </c>
      <c r="W598" s="5" t="s">
        <v>44</v>
      </c>
      <c r="AA598" s="5">
        <v>27</v>
      </c>
      <c r="AB598" s="5" t="s">
        <v>118</v>
      </c>
      <c r="AC598" s="5">
        <v>3100</v>
      </c>
      <c r="AD598" s="5" t="s">
        <v>92</v>
      </c>
      <c r="AE598" s="5">
        <v>62</v>
      </c>
      <c r="AH598" s="5">
        <v>176</v>
      </c>
      <c r="AI598" s="5" t="s">
        <v>636</v>
      </c>
      <c r="AJ598" s="5" t="s">
        <v>637</v>
      </c>
    </row>
    <row r="599" spans="1:36" x14ac:dyDescent="0.25">
      <c r="A599" s="5" t="s">
        <v>651</v>
      </c>
      <c r="B599" s="5" t="s">
        <v>509</v>
      </c>
      <c r="C599" s="5" t="s">
        <v>571</v>
      </c>
      <c r="D599" s="5" t="s">
        <v>652</v>
      </c>
      <c r="E599" s="5">
        <v>9.2823360000000008</v>
      </c>
      <c r="F599" s="5">
        <v>123.16404799999999</v>
      </c>
      <c r="G599" s="5" t="s">
        <v>653</v>
      </c>
      <c r="I599" s="5" t="s">
        <v>654</v>
      </c>
      <c r="L599" s="5" t="s">
        <v>655</v>
      </c>
      <c r="M599" s="5">
        <v>2.4</v>
      </c>
      <c r="N599" s="5" t="s">
        <v>65</v>
      </c>
      <c r="P599" s="7" t="s">
        <v>656</v>
      </c>
      <c r="Q599" s="5">
        <v>1983</v>
      </c>
      <c r="U599" s="5" t="s">
        <v>657</v>
      </c>
      <c r="V599" s="5">
        <v>2500</v>
      </c>
      <c r="W599" s="5" t="s">
        <v>73</v>
      </c>
      <c r="AA599" s="5" t="s">
        <v>658</v>
      </c>
      <c r="AB599" s="5" t="s">
        <v>118</v>
      </c>
      <c r="AE599" s="5">
        <v>1.2</v>
      </c>
      <c r="AI599" s="5" t="s">
        <v>659</v>
      </c>
      <c r="AJ599" s="5" t="s">
        <v>660</v>
      </c>
    </row>
    <row r="600" spans="1:36" ht="15" customHeight="1" x14ac:dyDescent="0.25">
      <c r="A600" s="14" t="s">
        <v>189</v>
      </c>
      <c r="B600" s="14" t="s">
        <v>509</v>
      </c>
      <c r="C600" s="5" t="s">
        <v>543</v>
      </c>
      <c r="D600" s="14" t="s">
        <v>668</v>
      </c>
      <c r="E600" s="14">
        <v>48.93092</v>
      </c>
      <c r="F600" s="14">
        <v>7.8666910000000003</v>
      </c>
      <c r="G600" s="6">
        <v>36707</v>
      </c>
      <c r="H600" s="6">
        <v>36714</v>
      </c>
      <c r="I600" s="6">
        <v>36707</v>
      </c>
      <c r="J600" s="6"/>
      <c r="L600" s="14"/>
      <c r="M600" s="14">
        <v>2.4</v>
      </c>
      <c r="N600" s="5" t="s">
        <v>40</v>
      </c>
      <c r="P600" s="13">
        <v>36723</v>
      </c>
      <c r="Q600" s="14">
        <v>2000</v>
      </c>
      <c r="R600" s="15"/>
      <c r="S600" s="14"/>
      <c r="T600" s="5" t="s">
        <v>349</v>
      </c>
      <c r="U600" s="5" t="s">
        <v>611</v>
      </c>
      <c r="V600" s="5" t="s">
        <v>669</v>
      </c>
      <c r="W600" s="5" t="s">
        <v>44</v>
      </c>
      <c r="AA600" s="5">
        <v>50</v>
      </c>
      <c r="AB600" s="5" t="s">
        <v>118</v>
      </c>
      <c r="AC600" s="5">
        <v>23000</v>
      </c>
      <c r="AD600" s="5" t="s">
        <v>92</v>
      </c>
      <c r="AH600" s="5">
        <v>202</v>
      </c>
      <c r="AI600" s="5" t="s">
        <v>670</v>
      </c>
      <c r="AJ600" s="5" t="s">
        <v>614</v>
      </c>
    </row>
    <row r="601" spans="1:36" ht="15" customHeight="1" x14ac:dyDescent="0.25">
      <c r="A601" s="5" t="s">
        <v>164</v>
      </c>
      <c r="B601" s="5" t="s">
        <v>509</v>
      </c>
      <c r="C601" s="5" t="s">
        <v>519</v>
      </c>
      <c r="D601" s="14" t="s">
        <v>661</v>
      </c>
      <c r="E601" s="14">
        <v>48.057059000000002</v>
      </c>
      <c r="F601" s="14">
        <v>11.59727</v>
      </c>
      <c r="G601" s="5" t="s">
        <v>662</v>
      </c>
      <c r="I601" s="5" t="s">
        <v>625</v>
      </c>
      <c r="L601" s="14"/>
      <c r="M601" s="14">
        <v>2.4</v>
      </c>
      <c r="N601" s="5" t="s">
        <v>65</v>
      </c>
      <c r="P601" s="13" t="s">
        <v>663</v>
      </c>
      <c r="Q601" s="14">
        <v>2008</v>
      </c>
      <c r="R601" s="14"/>
      <c r="S601" s="14">
        <v>800</v>
      </c>
      <c r="T601" s="5" t="s">
        <v>116</v>
      </c>
      <c r="U601" s="5" t="s">
        <v>664</v>
      </c>
      <c r="V601" s="5" t="s">
        <v>665</v>
      </c>
      <c r="W601" s="5" t="s">
        <v>44</v>
      </c>
      <c r="AA601" s="5" t="s">
        <v>666</v>
      </c>
      <c r="AB601" s="5" t="s">
        <v>118</v>
      </c>
      <c r="AJ601" s="5" t="s">
        <v>560</v>
      </c>
    </row>
    <row r="602" spans="1:36" ht="15" customHeight="1" x14ac:dyDescent="0.25">
      <c r="A602" s="5" t="s">
        <v>164</v>
      </c>
      <c r="B602" s="5" t="s">
        <v>509</v>
      </c>
      <c r="C602" s="5" t="s">
        <v>543</v>
      </c>
      <c r="D602" s="14" t="s">
        <v>645</v>
      </c>
      <c r="E602" s="14">
        <v>49.153866000000001</v>
      </c>
      <c r="F602" s="14">
        <v>8.1537059999999997</v>
      </c>
      <c r="G602" s="5" t="s">
        <v>646</v>
      </c>
      <c r="L602" s="5" t="s">
        <v>647</v>
      </c>
      <c r="M602" s="14">
        <v>2.4</v>
      </c>
      <c r="N602" s="5" t="s">
        <v>65</v>
      </c>
      <c r="P602" s="13" t="s">
        <v>646</v>
      </c>
      <c r="Q602" s="14">
        <v>2010</v>
      </c>
      <c r="R602" s="14"/>
      <c r="S602" s="14"/>
      <c r="T602" s="5" t="s">
        <v>648</v>
      </c>
      <c r="V602" s="5" t="s">
        <v>649</v>
      </c>
      <c r="W602" s="5" t="s">
        <v>44</v>
      </c>
      <c r="AH602" s="5">
        <v>165</v>
      </c>
      <c r="AJ602" s="5" t="s">
        <v>650</v>
      </c>
    </row>
    <row r="603" spans="1:36" ht="15" customHeight="1" x14ac:dyDescent="0.25">
      <c r="A603" s="14" t="s">
        <v>594</v>
      </c>
      <c r="B603" s="14" t="s">
        <v>509</v>
      </c>
      <c r="C603" s="5" t="s">
        <v>2140</v>
      </c>
      <c r="D603" s="14" t="s">
        <v>2338</v>
      </c>
      <c r="E603" s="14">
        <v>64.037341999999995</v>
      </c>
      <c r="F603" s="14">
        <v>-21.400698999999999</v>
      </c>
      <c r="G603" s="5">
        <v>2003</v>
      </c>
      <c r="L603" s="14"/>
      <c r="M603" s="14">
        <v>2.4</v>
      </c>
      <c r="N603" s="5" t="s">
        <v>65</v>
      </c>
      <c r="O603" s="5">
        <v>7000</v>
      </c>
      <c r="P603" s="13"/>
      <c r="Q603" s="14"/>
      <c r="R603" s="14"/>
      <c r="S603" s="14"/>
      <c r="T603" s="5" t="s">
        <v>667</v>
      </c>
      <c r="U603" s="5" t="s">
        <v>284</v>
      </c>
      <c r="V603" s="5">
        <v>2500</v>
      </c>
      <c r="W603" s="5" t="s">
        <v>597</v>
      </c>
      <c r="AA603" s="5">
        <v>60</v>
      </c>
      <c r="AB603" s="5" t="s">
        <v>118</v>
      </c>
      <c r="AJ603" s="5" t="s">
        <v>560</v>
      </c>
    </row>
    <row r="604" spans="1:36" ht="15" customHeight="1" x14ac:dyDescent="0.25">
      <c r="A604" s="14" t="s">
        <v>51</v>
      </c>
      <c r="B604" s="5" t="s">
        <v>509</v>
      </c>
      <c r="C604" s="5" t="s">
        <v>543</v>
      </c>
      <c r="D604" s="14" t="s">
        <v>671</v>
      </c>
      <c r="E604" s="14">
        <v>43.726024000000002</v>
      </c>
      <c r="F604" s="14">
        <v>-121.316311</v>
      </c>
      <c r="G604" s="6">
        <v>41199</v>
      </c>
      <c r="H604" s="6">
        <v>41250</v>
      </c>
      <c r="I604" s="6">
        <v>41211</v>
      </c>
      <c r="J604" s="6">
        <v>41276</v>
      </c>
      <c r="L604" s="14" t="s">
        <v>672</v>
      </c>
      <c r="M604" s="14">
        <v>2.39</v>
      </c>
      <c r="N604" s="5" t="s">
        <v>40</v>
      </c>
      <c r="P604" s="13">
        <v>41102</v>
      </c>
      <c r="Q604" s="14">
        <v>2012</v>
      </c>
      <c r="R604" s="15"/>
      <c r="S604" s="14">
        <v>1000</v>
      </c>
      <c r="T604" s="5" t="s">
        <v>513</v>
      </c>
      <c r="U604" s="5" t="s">
        <v>320</v>
      </c>
      <c r="V604" s="5">
        <v>3066</v>
      </c>
      <c r="W604" s="5" t="s">
        <v>73</v>
      </c>
      <c r="AC604" s="5">
        <v>41325</v>
      </c>
      <c r="AD604" s="5" t="s">
        <v>92</v>
      </c>
      <c r="AE604" s="5">
        <v>16.7</v>
      </c>
      <c r="AH604" s="5">
        <v>315</v>
      </c>
      <c r="AJ604" s="5" t="s">
        <v>673</v>
      </c>
    </row>
    <row r="605" spans="1:36" ht="15" customHeight="1" x14ac:dyDescent="0.25">
      <c r="A605" s="14" t="s">
        <v>717</v>
      </c>
      <c r="B605" s="5" t="s">
        <v>509</v>
      </c>
      <c r="C605" s="5" t="s">
        <v>543</v>
      </c>
      <c r="D605" s="14" t="s">
        <v>1994</v>
      </c>
      <c r="E605" s="14">
        <v>36.106155000000001</v>
      </c>
      <c r="F605" s="14">
        <v>129.37791200000001</v>
      </c>
      <c r="G605" s="6">
        <v>42719</v>
      </c>
      <c r="H605" s="6">
        <v>42746</v>
      </c>
      <c r="I605" s="6"/>
      <c r="J605" s="6"/>
      <c r="L605" s="14"/>
      <c r="M605" s="14">
        <v>2.2999999999999998</v>
      </c>
      <c r="N605" s="5" t="s">
        <v>65</v>
      </c>
      <c r="P605" s="13"/>
      <c r="Q605" s="14"/>
      <c r="R605" s="15"/>
      <c r="S605" s="14"/>
      <c r="W605" s="5" t="s">
        <v>44</v>
      </c>
      <c r="AJ605" s="5" t="s">
        <v>1995</v>
      </c>
    </row>
    <row r="606" spans="1:36" ht="15" customHeight="1" x14ac:dyDescent="0.25">
      <c r="A606" s="14" t="s">
        <v>594</v>
      </c>
      <c r="B606" s="14" t="s">
        <v>509</v>
      </c>
      <c r="C606" s="5" t="s">
        <v>571</v>
      </c>
      <c r="D606" s="14" t="s">
        <v>676</v>
      </c>
      <c r="E606" s="14">
        <v>65.703173000000007</v>
      </c>
      <c r="F606" s="14">
        <v>-16.772663999999999</v>
      </c>
      <c r="G606" s="5">
        <v>2002</v>
      </c>
      <c r="H606" s="5">
        <v>2004</v>
      </c>
      <c r="L606" s="14"/>
      <c r="M606" s="14">
        <v>2.2000000000000002</v>
      </c>
      <c r="N606" s="5" t="s">
        <v>65</v>
      </c>
      <c r="P606" s="13"/>
      <c r="Q606" s="14"/>
      <c r="R606" s="14"/>
      <c r="S606" s="14"/>
      <c r="T606" s="5" t="s">
        <v>667</v>
      </c>
      <c r="U606" s="5" t="s">
        <v>219</v>
      </c>
      <c r="V606" s="5" t="s">
        <v>677</v>
      </c>
      <c r="W606" s="5" t="s">
        <v>597</v>
      </c>
      <c r="AA606" s="5">
        <v>70</v>
      </c>
      <c r="AB606" s="5" t="s">
        <v>118</v>
      </c>
      <c r="AE606" s="5">
        <v>0.3</v>
      </c>
      <c r="AJ606" s="5" t="s">
        <v>2126</v>
      </c>
    </row>
    <row r="607" spans="1:36" ht="15" customHeight="1" x14ac:dyDescent="0.25">
      <c r="A607" s="5" t="s">
        <v>758</v>
      </c>
      <c r="B607" s="5" t="s">
        <v>509</v>
      </c>
      <c r="C607" s="5" t="s">
        <v>571</v>
      </c>
      <c r="D607" s="5" t="s">
        <v>2524</v>
      </c>
      <c r="E607" s="5">
        <v>38.386788000000003</v>
      </c>
      <c r="F607" s="5">
        <v>28.448802000000001</v>
      </c>
      <c r="G607" s="6" t="s">
        <v>2525</v>
      </c>
      <c r="H607" s="6"/>
      <c r="M607" s="5">
        <v>2.2000000000000002</v>
      </c>
      <c r="N607" s="5" t="s">
        <v>65</v>
      </c>
      <c r="U607" s="5" t="s">
        <v>2520</v>
      </c>
      <c r="V607" s="5" t="s">
        <v>2526</v>
      </c>
      <c r="W607" s="5" t="s">
        <v>1482</v>
      </c>
      <c r="AA607" s="5">
        <f>(45000*1000)/(60*60*24)</f>
        <v>520.83333333333337</v>
      </c>
      <c r="AB607" s="5" t="s">
        <v>118</v>
      </c>
      <c r="AI607" s="5" t="s">
        <v>2522</v>
      </c>
      <c r="AJ607" s="5" t="s">
        <v>2523</v>
      </c>
    </row>
    <row r="608" spans="1:36" ht="15" customHeight="1" x14ac:dyDescent="0.25">
      <c r="A608" s="14" t="s">
        <v>2437</v>
      </c>
      <c r="B608" s="14" t="s">
        <v>509</v>
      </c>
      <c r="C608" s="5" t="s">
        <v>2438</v>
      </c>
      <c r="D608" s="14" t="s">
        <v>2439</v>
      </c>
      <c r="E608" s="14">
        <v>51.224235</v>
      </c>
      <c r="F608" s="14">
        <v>5.1098689999999998</v>
      </c>
      <c r="G608" s="5" t="s">
        <v>2440</v>
      </c>
      <c r="I608" s="6">
        <v>43439</v>
      </c>
      <c r="L608" s="14" t="s">
        <v>2441</v>
      </c>
      <c r="M608" s="14">
        <v>2.1</v>
      </c>
      <c r="N608" s="5" t="s">
        <v>65</v>
      </c>
      <c r="O608" s="5">
        <v>4000</v>
      </c>
      <c r="P608" s="13">
        <v>43639</v>
      </c>
      <c r="Q608" s="14">
        <v>2019</v>
      </c>
      <c r="R608" s="14"/>
      <c r="S608" s="14"/>
      <c r="U608" s="5" t="s">
        <v>2442</v>
      </c>
      <c r="V608" s="5">
        <v>3300</v>
      </c>
      <c r="W608" s="5" t="s">
        <v>44</v>
      </c>
      <c r="AI608" s="5" t="s">
        <v>2653</v>
      </c>
      <c r="AJ608" t="s">
        <v>2654</v>
      </c>
    </row>
    <row r="609" spans="1:36" x14ac:dyDescent="0.25">
      <c r="A609" s="5" t="s">
        <v>758</v>
      </c>
      <c r="B609" s="5" t="s">
        <v>509</v>
      </c>
      <c r="C609" s="5" t="s">
        <v>571</v>
      </c>
      <c r="D609" s="5" t="s">
        <v>2527</v>
      </c>
      <c r="E609" s="5">
        <v>38.398496999999999</v>
      </c>
      <c r="F609" s="5">
        <v>28.42963</v>
      </c>
      <c r="G609" s="6" t="s">
        <v>2528</v>
      </c>
      <c r="H609" s="6"/>
      <c r="M609" s="5">
        <v>2.1</v>
      </c>
      <c r="N609" s="5" t="s">
        <v>65</v>
      </c>
      <c r="U609" s="5" t="s">
        <v>2520</v>
      </c>
      <c r="V609" s="5" t="s">
        <v>2529</v>
      </c>
      <c r="W609" s="5" t="s">
        <v>1482</v>
      </c>
      <c r="AA609" s="5">
        <f>(50000*1000)/(60*60*24)</f>
        <v>578.7037037037037</v>
      </c>
      <c r="AB609" s="5" t="s">
        <v>118</v>
      </c>
      <c r="AI609" s="5" t="s">
        <v>2522</v>
      </c>
      <c r="AJ609" s="5" t="s">
        <v>2523</v>
      </c>
    </row>
    <row r="610" spans="1:36" x14ac:dyDescent="0.25">
      <c r="A610" s="5" t="s">
        <v>108</v>
      </c>
      <c r="B610" s="5" t="s">
        <v>509</v>
      </c>
      <c r="C610" s="5" t="s">
        <v>543</v>
      </c>
      <c r="D610" s="14" t="s">
        <v>674</v>
      </c>
      <c r="E610" s="14">
        <v>42.117477000000001</v>
      </c>
      <c r="F610" s="14">
        <v>12.353588</v>
      </c>
      <c r="G610" s="5">
        <v>1978</v>
      </c>
      <c r="H610" s="5">
        <v>1978</v>
      </c>
      <c r="L610" s="14"/>
      <c r="M610" s="14">
        <v>2</v>
      </c>
      <c r="N610" s="5" t="s">
        <v>65</v>
      </c>
      <c r="P610" s="14">
        <v>1978</v>
      </c>
      <c r="Q610" s="14">
        <v>1978</v>
      </c>
      <c r="R610" s="14"/>
      <c r="S610" s="14">
        <v>400</v>
      </c>
      <c r="T610" s="5" t="s">
        <v>116</v>
      </c>
      <c r="V610" s="5">
        <v>2000</v>
      </c>
      <c r="W610" s="5" t="s">
        <v>73</v>
      </c>
      <c r="X610" s="5" t="s">
        <v>675</v>
      </c>
      <c r="AA610" s="5">
        <v>15</v>
      </c>
      <c r="AB610" s="5" t="s">
        <v>118</v>
      </c>
      <c r="AC610" s="5">
        <v>2000</v>
      </c>
      <c r="AD610" s="5" t="s">
        <v>92</v>
      </c>
      <c r="AE610" s="5">
        <v>7.5</v>
      </c>
      <c r="AH610" s="5">
        <v>250</v>
      </c>
      <c r="AJ610" s="5" t="s">
        <v>560</v>
      </c>
    </row>
    <row r="611" spans="1:36" x14ac:dyDescent="0.25">
      <c r="A611" s="5" t="s">
        <v>61</v>
      </c>
      <c r="B611" s="14" t="s">
        <v>509</v>
      </c>
      <c r="C611" s="5" t="s">
        <v>519</v>
      </c>
      <c r="D611" s="5" t="s">
        <v>690</v>
      </c>
      <c r="E611" s="5">
        <v>50.168087</v>
      </c>
      <c r="F611" s="5">
        <v>-5.1724600000000001</v>
      </c>
      <c r="G611" s="5">
        <v>1987</v>
      </c>
      <c r="H611" s="5">
        <v>1987</v>
      </c>
      <c r="M611" s="5">
        <v>2</v>
      </c>
      <c r="N611" s="5" t="s">
        <v>65</v>
      </c>
      <c r="P611" s="7">
        <v>31970</v>
      </c>
      <c r="Q611" s="5">
        <v>1987</v>
      </c>
      <c r="R611" s="6"/>
      <c r="T611" s="5" t="s">
        <v>349</v>
      </c>
      <c r="V611" s="5">
        <v>2000</v>
      </c>
      <c r="W611" s="5" t="s">
        <v>44</v>
      </c>
      <c r="AA611" s="5">
        <v>100</v>
      </c>
      <c r="AB611" s="5" t="s">
        <v>118</v>
      </c>
      <c r="AC611" s="5">
        <v>100000</v>
      </c>
      <c r="AD611" s="5" t="s">
        <v>92</v>
      </c>
      <c r="AE611" s="5">
        <v>16</v>
      </c>
      <c r="AH611" s="5">
        <v>100</v>
      </c>
      <c r="AJ611" s="5" t="s">
        <v>691</v>
      </c>
    </row>
    <row r="612" spans="1:36" x14ac:dyDescent="0.25">
      <c r="A612" s="5" t="s">
        <v>678</v>
      </c>
      <c r="B612" s="5" t="s">
        <v>509</v>
      </c>
      <c r="C612" s="5" t="s">
        <v>543</v>
      </c>
      <c r="D612" s="5" t="s">
        <v>679</v>
      </c>
      <c r="E612" s="5">
        <v>38.977437000000002</v>
      </c>
      <c r="F612" s="5">
        <v>140.51674299999999</v>
      </c>
      <c r="G612" s="5">
        <v>1991</v>
      </c>
      <c r="H612" s="5">
        <v>1991</v>
      </c>
      <c r="L612" s="5">
        <v>1553</v>
      </c>
      <c r="M612" s="5">
        <v>2</v>
      </c>
      <c r="N612" s="5" t="s">
        <v>40</v>
      </c>
      <c r="S612" s="5">
        <v>1000</v>
      </c>
      <c r="T612" s="5" t="s">
        <v>680</v>
      </c>
      <c r="U612" s="5" t="s">
        <v>681</v>
      </c>
      <c r="V612" s="5" t="s">
        <v>682</v>
      </c>
      <c r="W612" s="5" t="s">
        <v>73</v>
      </c>
      <c r="AA612" s="5">
        <f>(41*1000)/(60*60)</f>
        <v>11.388888888888889</v>
      </c>
      <c r="AB612" s="5" t="s">
        <v>118</v>
      </c>
      <c r="AC612" s="5">
        <v>10140</v>
      </c>
      <c r="AD612" s="5" t="s">
        <v>92</v>
      </c>
      <c r="AE612" s="5">
        <v>20</v>
      </c>
      <c r="AH612" s="5">
        <v>228</v>
      </c>
      <c r="AI612" s="5" t="s">
        <v>683</v>
      </c>
      <c r="AJ612" s="5" t="s">
        <v>684</v>
      </c>
    </row>
    <row r="613" spans="1:36" ht="16.5" customHeight="1" x14ac:dyDescent="0.25">
      <c r="A613" s="5" t="s">
        <v>685</v>
      </c>
      <c r="B613" s="5" t="s">
        <v>509</v>
      </c>
      <c r="C613" s="5" t="s">
        <v>519</v>
      </c>
      <c r="D613" s="5" t="s">
        <v>686</v>
      </c>
      <c r="E613" s="5">
        <v>1.2549170000000001</v>
      </c>
      <c r="F613" s="5">
        <v>124.822096</v>
      </c>
      <c r="M613" s="5">
        <v>2</v>
      </c>
      <c r="W613" s="5" t="s">
        <v>73</v>
      </c>
      <c r="AA613" s="5" t="s">
        <v>687</v>
      </c>
      <c r="AB613" s="5" t="s">
        <v>118</v>
      </c>
      <c r="AC613" s="17"/>
      <c r="AI613" s="5" t="s">
        <v>688</v>
      </c>
      <c r="AJ613" s="5" t="s">
        <v>689</v>
      </c>
    </row>
    <row r="614" spans="1:36" ht="16.5" customHeight="1" x14ac:dyDescent="0.25">
      <c r="A614" s="14" t="s">
        <v>594</v>
      </c>
      <c r="B614" s="14" t="s">
        <v>509</v>
      </c>
      <c r="C614" s="5" t="s">
        <v>571</v>
      </c>
      <c r="D614" s="14" t="s">
        <v>2339</v>
      </c>
      <c r="E614" s="5">
        <v>64.020381999999998</v>
      </c>
      <c r="F614" s="5">
        <v>-21.429265000000001</v>
      </c>
      <c r="G614" s="5">
        <v>2006</v>
      </c>
      <c r="M614" s="5">
        <v>2</v>
      </c>
      <c r="N614" s="5" t="s">
        <v>65</v>
      </c>
      <c r="V614" s="5" t="s">
        <v>2023</v>
      </c>
      <c r="W614" s="5" t="s">
        <v>597</v>
      </c>
      <c r="AA614" s="5">
        <v>350</v>
      </c>
      <c r="AB614" s="5" t="s">
        <v>118</v>
      </c>
      <c r="AJ614" s="5" t="s">
        <v>2132</v>
      </c>
    </row>
    <row r="615" spans="1:36" ht="15" customHeight="1" x14ac:dyDescent="0.25">
      <c r="A615" s="14" t="s">
        <v>1203</v>
      </c>
      <c r="B615" s="14" t="s">
        <v>509</v>
      </c>
      <c r="C615" s="5" t="s">
        <v>615</v>
      </c>
      <c r="D615" s="14" t="s">
        <v>2242</v>
      </c>
      <c r="E615" s="5">
        <v>60.188395999999997</v>
      </c>
      <c r="F615" s="5">
        <v>24.827842</v>
      </c>
      <c r="G615" s="5" t="s">
        <v>2243</v>
      </c>
      <c r="H615" s="5" t="s">
        <v>2244</v>
      </c>
      <c r="L615" s="5" t="s">
        <v>2245</v>
      </c>
      <c r="M615" s="5">
        <v>1.9</v>
      </c>
      <c r="N615" s="5" t="s">
        <v>65</v>
      </c>
      <c r="P615" s="5">
        <v>2018</v>
      </c>
      <c r="Q615" s="5">
        <v>2018</v>
      </c>
      <c r="T615" s="5" t="s">
        <v>349</v>
      </c>
      <c r="V615" s="5">
        <v>6100</v>
      </c>
      <c r="W615" s="5" t="s">
        <v>44</v>
      </c>
      <c r="AA615" s="5">
        <f>800/60</f>
        <v>13.333333333333334</v>
      </c>
      <c r="AB615" s="5" t="s">
        <v>118</v>
      </c>
      <c r="AC615" s="5">
        <v>18159</v>
      </c>
      <c r="AD615" s="5" t="s">
        <v>92</v>
      </c>
      <c r="AE615" s="5">
        <v>90</v>
      </c>
      <c r="AH615" s="5">
        <v>120</v>
      </c>
      <c r="AJ615" s="5" t="s">
        <v>2246</v>
      </c>
    </row>
    <row r="616" spans="1:36" ht="15" customHeight="1" x14ac:dyDescent="0.25">
      <c r="A616" s="5" t="s">
        <v>508</v>
      </c>
      <c r="B616" s="5" t="s">
        <v>509</v>
      </c>
      <c r="C616" s="5" t="s">
        <v>543</v>
      </c>
      <c r="D616" s="5" t="s">
        <v>692</v>
      </c>
      <c r="E616" s="5">
        <v>19.790490999999999</v>
      </c>
      <c r="F616" s="5">
        <v>-100.666169</v>
      </c>
      <c r="M616" s="5">
        <v>1.9</v>
      </c>
      <c r="N616" s="5" t="s">
        <v>535</v>
      </c>
      <c r="U616" s="5" t="s">
        <v>693</v>
      </c>
      <c r="W616" s="5" t="s">
        <v>73</v>
      </c>
      <c r="AI616" s="5" t="s">
        <v>694</v>
      </c>
      <c r="AJ616" s="5" t="s">
        <v>695</v>
      </c>
    </row>
    <row r="617" spans="1:36" x14ac:dyDescent="0.25">
      <c r="A617" s="5" t="s">
        <v>164</v>
      </c>
      <c r="B617" s="14" t="s">
        <v>509</v>
      </c>
      <c r="C617" s="5" t="s">
        <v>543</v>
      </c>
      <c r="D617" s="5" t="s">
        <v>696</v>
      </c>
      <c r="E617" s="5">
        <v>48.506892000000001</v>
      </c>
      <c r="F617" s="5">
        <v>9.3735649999999993</v>
      </c>
      <c r="G617" s="5" t="s">
        <v>697</v>
      </c>
      <c r="H617" s="5" t="s">
        <v>697</v>
      </c>
      <c r="I617" s="5" t="s">
        <v>697</v>
      </c>
      <c r="K617" s="5" t="s">
        <v>698</v>
      </c>
      <c r="L617" s="5" t="s">
        <v>699</v>
      </c>
      <c r="M617" s="5">
        <v>1.8</v>
      </c>
      <c r="N617" s="5" t="s">
        <v>40</v>
      </c>
      <c r="P617" s="5">
        <v>2002</v>
      </c>
      <c r="Q617" s="5">
        <v>2002</v>
      </c>
      <c r="S617" s="5">
        <v>500</v>
      </c>
      <c r="T617" s="5" t="s">
        <v>700</v>
      </c>
      <c r="V617" s="5">
        <v>4300</v>
      </c>
      <c r="W617" s="5" t="s">
        <v>44</v>
      </c>
      <c r="AA617" s="5">
        <v>50</v>
      </c>
      <c r="AB617" s="5" t="s">
        <v>118</v>
      </c>
      <c r="AC617" s="5">
        <v>5600</v>
      </c>
      <c r="AD617" s="5" t="s">
        <v>92</v>
      </c>
      <c r="AE617" s="5">
        <v>34</v>
      </c>
      <c r="AH617" s="5">
        <v>170</v>
      </c>
      <c r="AJ617" s="5" t="s">
        <v>560</v>
      </c>
    </row>
    <row r="618" spans="1:36" x14ac:dyDescent="0.25">
      <c r="A618" s="5" t="s">
        <v>61</v>
      </c>
      <c r="B618" s="14" t="s">
        <v>509</v>
      </c>
      <c r="C618" s="5" t="s">
        <v>543</v>
      </c>
      <c r="D618" s="5" t="s">
        <v>2592</v>
      </c>
      <c r="E618" s="5">
        <v>50.368035999999996</v>
      </c>
      <c r="F618" s="5">
        <v>-4.7527699999999999</v>
      </c>
      <c r="G618" s="5" t="s">
        <v>2593</v>
      </c>
      <c r="M618" s="5">
        <v>1.7</v>
      </c>
      <c r="O618" s="5">
        <v>3700</v>
      </c>
      <c r="P618" s="7">
        <v>44629</v>
      </c>
      <c r="Q618" s="5">
        <v>2022</v>
      </c>
      <c r="T618" s="5" t="s">
        <v>349</v>
      </c>
      <c r="V618" s="5">
        <v>4871</v>
      </c>
      <c r="W618" s="5" t="s">
        <v>44</v>
      </c>
      <c r="AJ618" s="2" t="s">
        <v>2594</v>
      </c>
    </row>
    <row r="619" spans="1:36" x14ac:dyDescent="0.25">
      <c r="A619" s="14" t="s">
        <v>550</v>
      </c>
      <c r="B619" s="14" t="s">
        <v>509</v>
      </c>
      <c r="C619" s="5" t="s">
        <v>543</v>
      </c>
      <c r="D619" s="14" t="s">
        <v>2027</v>
      </c>
      <c r="E619" s="14">
        <v>-27.819541000000001</v>
      </c>
      <c r="F619" s="14">
        <v>140.75128599999999</v>
      </c>
      <c r="I619" s="6">
        <v>39555</v>
      </c>
      <c r="J619" s="6">
        <v>39556</v>
      </c>
      <c r="L619" s="14">
        <v>310</v>
      </c>
      <c r="M619" s="14">
        <v>1.7</v>
      </c>
      <c r="N619" s="5" t="s">
        <v>65</v>
      </c>
      <c r="P619" s="13"/>
      <c r="Q619" s="14">
        <v>2008</v>
      </c>
      <c r="R619" s="14"/>
      <c r="S619" s="14"/>
      <c r="W619" s="5" t="s">
        <v>44</v>
      </c>
      <c r="AI619" s="5" t="s">
        <v>2028</v>
      </c>
      <c r="AJ619" s="5" t="s">
        <v>2029</v>
      </c>
    </row>
    <row r="620" spans="1:36" x14ac:dyDescent="0.25">
      <c r="A620" s="14" t="s">
        <v>51</v>
      </c>
      <c r="B620" s="5" t="s">
        <v>509</v>
      </c>
      <c r="C620" s="5" t="s">
        <v>543</v>
      </c>
      <c r="D620" s="14" t="s">
        <v>701</v>
      </c>
      <c r="E620" s="14">
        <v>39.632821</v>
      </c>
      <c r="F620" s="14">
        <v>-118.795868</v>
      </c>
      <c r="G620" s="5">
        <v>2013</v>
      </c>
      <c r="L620" s="14">
        <v>300</v>
      </c>
      <c r="M620" s="14">
        <v>1.7</v>
      </c>
      <c r="N620" s="5" t="s">
        <v>65</v>
      </c>
      <c r="P620" s="13"/>
      <c r="Q620" s="14"/>
      <c r="R620" s="14"/>
      <c r="S620" s="14"/>
      <c r="T620" s="5" t="s">
        <v>702</v>
      </c>
      <c r="V620" s="5" t="s">
        <v>703</v>
      </c>
      <c r="W620" s="5" t="s">
        <v>704</v>
      </c>
      <c r="AH620" s="5" t="s">
        <v>705</v>
      </c>
      <c r="AJ620" s="5" t="s">
        <v>706</v>
      </c>
    </row>
    <row r="621" spans="1:36" x14ac:dyDescent="0.25">
      <c r="A621" s="14" t="s">
        <v>61</v>
      </c>
      <c r="B621" s="5" t="s">
        <v>509</v>
      </c>
      <c r="C621" s="5" t="s">
        <v>2443</v>
      </c>
      <c r="D621" s="14" t="s">
        <v>2444</v>
      </c>
      <c r="E621" s="14">
        <v>50.229798000000002</v>
      </c>
      <c r="F621" s="14">
        <v>-5.1657299999999999</v>
      </c>
      <c r="L621" s="14" t="s">
        <v>2577</v>
      </c>
      <c r="M621" s="14">
        <v>1.7</v>
      </c>
      <c r="N621" s="5" t="s">
        <v>65</v>
      </c>
      <c r="O621" s="5">
        <v>4800</v>
      </c>
      <c r="P621" s="13">
        <v>44173</v>
      </c>
      <c r="Q621" s="14">
        <v>2020</v>
      </c>
      <c r="R621" s="14"/>
      <c r="S621" s="14"/>
      <c r="T621" s="5" t="s">
        <v>349</v>
      </c>
      <c r="U621" s="5" t="s">
        <v>2578</v>
      </c>
      <c r="V621" s="5" t="s">
        <v>2445</v>
      </c>
      <c r="W621" s="5" t="s">
        <v>44</v>
      </c>
      <c r="AJ621" t="s">
        <v>2579</v>
      </c>
    </row>
    <row r="622" spans="1:36" x14ac:dyDescent="0.25">
      <c r="A622" s="5" t="s">
        <v>550</v>
      </c>
      <c r="B622" s="5" t="s">
        <v>509</v>
      </c>
      <c r="C622" s="5" t="s">
        <v>543</v>
      </c>
      <c r="D622" s="5" t="s">
        <v>707</v>
      </c>
      <c r="E622" s="5">
        <v>-27.801045999999999</v>
      </c>
      <c r="F622" s="5">
        <v>140.66142199999999</v>
      </c>
      <c r="G622" s="6">
        <v>40474</v>
      </c>
      <c r="H622" s="6">
        <v>40482</v>
      </c>
      <c r="I622" s="6">
        <v>40474</v>
      </c>
      <c r="J622" s="6">
        <v>40516</v>
      </c>
      <c r="L622" s="5">
        <v>73</v>
      </c>
      <c r="M622" s="5">
        <v>1.6</v>
      </c>
      <c r="N622" s="5" t="s">
        <v>65</v>
      </c>
      <c r="P622" s="5">
        <v>2011</v>
      </c>
      <c r="Q622" s="5">
        <v>2011</v>
      </c>
      <c r="U622" s="5" t="s">
        <v>708</v>
      </c>
      <c r="V622" s="5" t="s">
        <v>709</v>
      </c>
      <c r="W622" s="5" t="s">
        <v>44</v>
      </c>
      <c r="AA622" s="5">
        <v>10</v>
      </c>
      <c r="AB622" s="5" t="s">
        <v>118</v>
      </c>
      <c r="AC622" s="5">
        <v>380</v>
      </c>
      <c r="AD622" s="5" t="s">
        <v>92</v>
      </c>
      <c r="AE622" s="5">
        <v>70</v>
      </c>
      <c r="AI622" s="5" t="s">
        <v>710</v>
      </c>
      <c r="AJ622" s="5" t="s">
        <v>2030</v>
      </c>
    </row>
    <row r="623" spans="1:36" x14ac:dyDescent="0.25">
      <c r="A623" s="14" t="s">
        <v>189</v>
      </c>
      <c r="B623" s="14" t="s">
        <v>509</v>
      </c>
      <c r="C623" s="5" t="s">
        <v>543</v>
      </c>
      <c r="D623" s="14" t="s">
        <v>711</v>
      </c>
      <c r="E623" s="14">
        <v>48.896791</v>
      </c>
      <c r="F623" s="14">
        <v>7.9385180000000002</v>
      </c>
      <c r="G623" s="6" t="s">
        <v>712</v>
      </c>
      <c r="H623" s="6"/>
      <c r="I623" s="6">
        <v>41452</v>
      </c>
      <c r="J623" s="6"/>
      <c r="L623" s="14">
        <v>174</v>
      </c>
      <c r="M623" s="14">
        <v>1.6</v>
      </c>
      <c r="N623" s="5" t="s">
        <v>713</v>
      </c>
      <c r="P623" s="13">
        <v>41457</v>
      </c>
      <c r="Q623" s="14">
        <v>2013</v>
      </c>
      <c r="R623" s="15"/>
      <c r="S623" s="14"/>
      <c r="T623" s="5" t="s">
        <v>648</v>
      </c>
      <c r="U623" s="5" t="s">
        <v>714</v>
      </c>
      <c r="V623" s="5">
        <v>2580</v>
      </c>
      <c r="W623" s="5" t="s">
        <v>44</v>
      </c>
      <c r="AH623" s="5">
        <v>170</v>
      </c>
      <c r="AI623" s="5" t="s">
        <v>2340</v>
      </c>
      <c r="AJ623" s="5" t="s">
        <v>715</v>
      </c>
    </row>
    <row r="624" spans="1:36" x14ac:dyDescent="0.25">
      <c r="A624" s="5" t="s">
        <v>758</v>
      </c>
      <c r="B624" s="5" t="s">
        <v>509</v>
      </c>
      <c r="C624" s="5" t="s">
        <v>571</v>
      </c>
      <c r="D624" s="5" t="s">
        <v>2530</v>
      </c>
      <c r="E624" s="5">
        <v>38.425173000000001</v>
      </c>
      <c r="F624" s="5">
        <v>28.376937000000002</v>
      </c>
      <c r="G624" s="6" t="s">
        <v>2081</v>
      </c>
      <c r="H624" s="6"/>
      <c r="M624" s="5">
        <v>1.6</v>
      </c>
      <c r="N624" s="5" t="s">
        <v>65</v>
      </c>
      <c r="U624" s="5" t="s">
        <v>2520</v>
      </c>
      <c r="V624" s="5" t="s">
        <v>2531</v>
      </c>
      <c r="W624" s="5" t="s">
        <v>1482</v>
      </c>
      <c r="AA624" s="5">
        <f>(12000*1000)/(60*60*24)</f>
        <v>138.88888888888889</v>
      </c>
      <c r="AB624" s="5" t="s">
        <v>118</v>
      </c>
      <c r="AI624" s="5" t="s">
        <v>2522</v>
      </c>
      <c r="AJ624" s="5" t="s">
        <v>2523</v>
      </c>
    </row>
    <row r="625" spans="1:36" x14ac:dyDescent="0.25">
      <c r="A625" s="5" t="s">
        <v>550</v>
      </c>
      <c r="B625" s="5" t="s">
        <v>509</v>
      </c>
      <c r="C625" s="5" t="s">
        <v>543</v>
      </c>
      <c r="D625" s="5" t="s">
        <v>716</v>
      </c>
      <c r="E625" s="14">
        <v>-30.193843000000001</v>
      </c>
      <c r="F625" s="14">
        <v>139.69747000000001</v>
      </c>
      <c r="M625" s="5">
        <v>1.4</v>
      </c>
      <c r="N625" s="5" t="s">
        <v>65</v>
      </c>
      <c r="W625" s="5" t="s">
        <v>44</v>
      </c>
      <c r="AA625" s="5">
        <v>5.3</v>
      </c>
      <c r="AB625" s="5" t="s">
        <v>118</v>
      </c>
      <c r="AC625" s="5">
        <v>1400</v>
      </c>
      <c r="AD625" s="5" t="s">
        <v>92</v>
      </c>
      <c r="AE625" s="5">
        <v>59</v>
      </c>
      <c r="AJ625" s="5" t="s">
        <v>637</v>
      </c>
    </row>
    <row r="626" spans="1:36" x14ac:dyDescent="0.25">
      <c r="A626" s="5" t="s">
        <v>758</v>
      </c>
      <c r="B626" s="5" t="s">
        <v>509</v>
      </c>
      <c r="C626" s="5" t="s">
        <v>571</v>
      </c>
      <c r="D626" s="5" t="s">
        <v>2532</v>
      </c>
      <c r="E626" s="5">
        <v>38.465649999999997</v>
      </c>
      <c r="F626" s="5">
        <v>28.427406000000001</v>
      </c>
      <c r="G626" s="6" t="s">
        <v>2533</v>
      </c>
      <c r="H626" s="6"/>
      <c r="M626" s="5">
        <v>1.4</v>
      </c>
      <c r="N626" s="5" t="s">
        <v>65</v>
      </c>
      <c r="U626" s="5" t="s">
        <v>2520</v>
      </c>
      <c r="V626" s="5" t="s">
        <v>2534</v>
      </c>
      <c r="W626" s="5" t="s">
        <v>1482</v>
      </c>
      <c r="AA626" s="5">
        <f>(35000*1000)/(60*60*24)</f>
        <v>405.09259259259261</v>
      </c>
      <c r="AB626" s="5" t="s">
        <v>118</v>
      </c>
      <c r="AI626" s="5" t="s">
        <v>2522</v>
      </c>
      <c r="AJ626" s="5" t="s">
        <v>2523</v>
      </c>
    </row>
    <row r="627" spans="1:36" ht="15" customHeight="1" x14ac:dyDescent="0.25">
      <c r="A627" s="14" t="s">
        <v>51</v>
      </c>
      <c r="B627" s="5" t="s">
        <v>509</v>
      </c>
      <c r="C627" s="5" t="s">
        <v>543</v>
      </c>
      <c r="D627" s="14" t="s">
        <v>719</v>
      </c>
      <c r="E627" s="14">
        <v>35.880851999999997</v>
      </c>
      <c r="F627" s="14">
        <v>-106.674649</v>
      </c>
      <c r="G627" s="5" t="s">
        <v>720</v>
      </c>
      <c r="L627" s="14" t="s">
        <v>721</v>
      </c>
      <c r="M627" s="14">
        <v>1.3</v>
      </c>
      <c r="O627" s="5">
        <v>3372</v>
      </c>
      <c r="P627" s="14">
        <v>1983</v>
      </c>
      <c r="Q627" s="14">
        <v>1983</v>
      </c>
      <c r="R627" s="14"/>
      <c r="S627" s="14">
        <v>60</v>
      </c>
      <c r="T627" s="5" t="s">
        <v>349</v>
      </c>
      <c r="U627" s="5" t="s">
        <v>722</v>
      </c>
      <c r="V627" s="5">
        <v>3460</v>
      </c>
      <c r="W627" s="5" t="s">
        <v>44</v>
      </c>
      <c r="AA627" s="5">
        <v>95.6</v>
      </c>
      <c r="AB627" s="5" t="s">
        <v>118</v>
      </c>
      <c r="AC627" s="5">
        <v>21600</v>
      </c>
      <c r="AD627" s="5" t="s">
        <v>92</v>
      </c>
      <c r="AF627" s="5">
        <v>20</v>
      </c>
      <c r="AJ627" s="5" t="s">
        <v>723</v>
      </c>
    </row>
    <row r="628" spans="1:36" ht="15" customHeight="1" x14ac:dyDescent="0.25">
      <c r="A628" s="5" t="s">
        <v>164</v>
      </c>
      <c r="B628" s="5" t="s">
        <v>509</v>
      </c>
      <c r="C628" s="5" t="s">
        <v>543</v>
      </c>
      <c r="D628" s="14" t="s">
        <v>724</v>
      </c>
      <c r="E628" s="14">
        <v>52.903491000000002</v>
      </c>
      <c r="F628" s="14">
        <v>10.328189</v>
      </c>
      <c r="G628" s="5" t="s">
        <v>725</v>
      </c>
      <c r="H628" s="5" t="s">
        <v>726</v>
      </c>
      <c r="L628" s="14">
        <v>11</v>
      </c>
      <c r="M628" s="14">
        <v>0</v>
      </c>
      <c r="N628" s="5" t="s">
        <v>65</v>
      </c>
      <c r="P628" s="13"/>
      <c r="Q628" s="14"/>
      <c r="R628" s="14"/>
      <c r="S628" s="14"/>
      <c r="T628" s="5" t="s">
        <v>41</v>
      </c>
      <c r="V628" s="5" t="s">
        <v>727</v>
      </c>
      <c r="W628" s="5" t="s">
        <v>44</v>
      </c>
      <c r="AA628" s="5">
        <v>50</v>
      </c>
      <c r="AB628" s="5" t="s">
        <v>118</v>
      </c>
      <c r="AC628" s="5">
        <v>21000</v>
      </c>
      <c r="AD628" s="5" t="s">
        <v>92</v>
      </c>
      <c r="AE628" s="5">
        <v>46</v>
      </c>
      <c r="AH628" s="5">
        <v>158</v>
      </c>
      <c r="AJ628" s="5" t="s">
        <v>728</v>
      </c>
    </row>
    <row r="629" spans="1:36" ht="15" customHeight="1" x14ac:dyDescent="0.25">
      <c r="A629" s="14" t="s">
        <v>729</v>
      </c>
      <c r="B629" s="14" t="s">
        <v>509</v>
      </c>
      <c r="C629" s="5" t="s">
        <v>543</v>
      </c>
      <c r="D629" s="14" t="s">
        <v>730</v>
      </c>
      <c r="E629" s="14">
        <v>58.599809</v>
      </c>
      <c r="F629" s="14">
        <v>11.288306</v>
      </c>
      <c r="G629" s="5" t="s">
        <v>731</v>
      </c>
      <c r="H629" s="5" t="s">
        <v>731</v>
      </c>
      <c r="L629" s="14" t="s">
        <v>732</v>
      </c>
      <c r="M629" s="14">
        <v>-0.2</v>
      </c>
      <c r="N629" s="5" t="s">
        <v>65</v>
      </c>
      <c r="P629" s="13"/>
      <c r="Q629" s="14"/>
      <c r="R629" s="14"/>
      <c r="S629" s="14">
        <v>150</v>
      </c>
      <c r="T629" s="5" t="s">
        <v>349</v>
      </c>
      <c r="U629" s="5" t="s">
        <v>733</v>
      </c>
      <c r="V629" s="5">
        <v>450</v>
      </c>
      <c r="W629" s="5" t="s">
        <v>44</v>
      </c>
      <c r="AA629" s="5">
        <v>30</v>
      </c>
      <c r="AB629" s="5" t="s">
        <v>118</v>
      </c>
      <c r="AC629" s="5">
        <f>9+30+30+105+225</f>
        <v>399</v>
      </c>
      <c r="AD629" s="5" t="s">
        <v>92</v>
      </c>
      <c r="AE629" s="5">
        <v>18</v>
      </c>
      <c r="AJ629" s="5" t="s">
        <v>734</v>
      </c>
    </row>
    <row r="630" spans="1:36" ht="15" customHeight="1" x14ac:dyDescent="0.25">
      <c r="A630" s="5" t="s">
        <v>678</v>
      </c>
      <c r="B630" s="5" t="s">
        <v>509</v>
      </c>
      <c r="C630" s="5" t="s">
        <v>543</v>
      </c>
      <c r="D630" s="5" t="s">
        <v>740</v>
      </c>
      <c r="E630" s="5">
        <v>38.606251999999998</v>
      </c>
      <c r="F630" s="5">
        <v>140.15998500000001</v>
      </c>
      <c r="G630" s="6">
        <v>32343</v>
      </c>
      <c r="H630" s="6">
        <v>32344</v>
      </c>
      <c r="L630" s="5" t="s">
        <v>741</v>
      </c>
      <c r="M630" s="5">
        <v>-1</v>
      </c>
      <c r="P630" s="5">
        <v>1988</v>
      </c>
      <c r="Q630" s="5">
        <v>1988</v>
      </c>
      <c r="S630" s="5">
        <v>500</v>
      </c>
      <c r="T630" s="5" t="s">
        <v>680</v>
      </c>
      <c r="U630" s="5" t="s">
        <v>742</v>
      </c>
      <c r="V630" s="5" t="s">
        <v>743</v>
      </c>
      <c r="W630" s="5" t="s">
        <v>73</v>
      </c>
      <c r="AA630" s="5">
        <f>(6.2*1000)/60</f>
        <v>103.33333333333333</v>
      </c>
      <c r="AB630" s="5" t="s">
        <v>118</v>
      </c>
      <c r="AC630" s="5">
        <v>2000</v>
      </c>
      <c r="AD630" s="5" t="s">
        <v>92</v>
      </c>
      <c r="AE630" s="5">
        <v>16</v>
      </c>
      <c r="AH630" s="5">
        <v>253</v>
      </c>
      <c r="AI630" s="5" t="s">
        <v>744</v>
      </c>
      <c r="AJ630" s="5" t="s">
        <v>745</v>
      </c>
    </row>
    <row r="631" spans="1:36" ht="15" customHeight="1" x14ac:dyDescent="0.25">
      <c r="A631" s="5" t="s">
        <v>164</v>
      </c>
      <c r="B631" s="5" t="s">
        <v>509</v>
      </c>
      <c r="C631" s="5" t="s">
        <v>543</v>
      </c>
      <c r="D631" s="5" t="s">
        <v>2341</v>
      </c>
      <c r="E631" s="5">
        <v>52.90372</v>
      </c>
      <c r="F631" s="5">
        <v>13.60168</v>
      </c>
      <c r="G631" s="5">
        <v>2007</v>
      </c>
      <c r="H631" s="5">
        <v>2007</v>
      </c>
      <c r="L631" s="5" t="s">
        <v>735</v>
      </c>
      <c r="M631" s="5">
        <v>-1</v>
      </c>
      <c r="N631" s="5" t="s">
        <v>40</v>
      </c>
      <c r="P631" s="5">
        <v>2007</v>
      </c>
      <c r="Q631" s="5">
        <v>2007</v>
      </c>
      <c r="T631" s="5" t="s">
        <v>736</v>
      </c>
      <c r="V631" s="5">
        <v>4100</v>
      </c>
      <c r="W631" s="5" t="s">
        <v>44</v>
      </c>
      <c r="X631" s="5" t="s">
        <v>737</v>
      </c>
      <c r="AA631" s="5">
        <v>150</v>
      </c>
      <c r="AB631" s="5" t="s">
        <v>118</v>
      </c>
      <c r="AC631" s="5">
        <v>13000</v>
      </c>
      <c r="AD631" s="5" t="s">
        <v>92</v>
      </c>
      <c r="AE631" s="5">
        <v>59</v>
      </c>
      <c r="AH631" s="5">
        <v>145</v>
      </c>
      <c r="AJ631" s="5" t="s">
        <v>738</v>
      </c>
    </row>
    <row r="632" spans="1:36" ht="15" customHeight="1" x14ac:dyDescent="0.25">
      <c r="A632" s="5" t="s">
        <v>678</v>
      </c>
      <c r="B632" s="5" t="s">
        <v>509</v>
      </c>
      <c r="C632" s="5" t="s">
        <v>519</v>
      </c>
      <c r="D632" s="5" t="s">
        <v>746</v>
      </c>
      <c r="E632" s="5">
        <v>38.606251999999998</v>
      </c>
      <c r="F632" s="5">
        <v>140.15998500000001</v>
      </c>
      <c r="G632" s="6">
        <v>32800</v>
      </c>
      <c r="H632" s="6">
        <v>32829</v>
      </c>
      <c r="L632" s="5" t="s">
        <v>747</v>
      </c>
      <c r="M632" s="5">
        <v>-1</v>
      </c>
      <c r="T632" s="5" t="s">
        <v>680</v>
      </c>
      <c r="U632" s="5" t="s">
        <v>748</v>
      </c>
      <c r="V632" s="5" t="s">
        <v>743</v>
      </c>
      <c r="W632" s="5" t="s">
        <v>73</v>
      </c>
      <c r="AA632" s="5">
        <f>(2*1000)/60</f>
        <v>33.333333333333336</v>
      </c>
      <c r="AB632" s="5" t="s">
        <v>118</v>
      </c>
      <c r="AC632" s="5" t="s">
        <v>749</v>
      </c>
      <c r="AD632" s="5" t="s">
        <v>92</v>
      </c>
      <c r="AE632" s="5">
        <v>7.2</v>
      </c>
      <c r="AH632" s="5">
        <v>253</v>
      </c>
      <c r="AI632" s="5" t="s">
        <v>750</v>
      </c>
      <c r="AJ632" s="5" t="s">
        <v>745</v>
      </c>
    </row>
    <row r="633" spans="1:36" x14ac:dyDescent="0.25">
      <c r="A633" s="5" t="s">
        <v>51</v>
      </c>
      <c r="B633" s="5" t="s">
        <v>509</v>
      </c>
      <c r="C633" s="5" t="s">
        <v>543</v>
      </c>
      <c r="D633" s="5" t="s">
        <v>751</v>
      </c>
      <c r="E633" s="5">
        <v>35.893512000000001</v>
      </c>
      <c r="F633" s="5">
        <v>-106.58084100000001</v>
      </c>
      <c r="M633" s="5">
        <v>-2</v>
      </c>
      <c r="P633" s="7" t="s">
        <v>752</v>
      </c>
      <c r="Q633" s="5">
        <v>1982</v>
      </c>
      <c r="T633" s="5" t="s">
        <v>513</v>
      </c>
      <c r="V633" s="5">
        <v>1700</v>
      </c>
      <c r="W633" s="5" t="s">
        <v>44</v>
      </c>
      <c r="AJ633" s="5" t="s">
        <v>753</v>
      </c>
    </row>
    <row r="634" spans="1:36" x14ac:dyDescent="0.25">
      <c r="A634" s="5" t="s">
        <v>51</v>
      </c>
      <c r="B634" s="5" t="s">
        <v>509</v>
      </c>
      <c r="C634" s="5" t="s">
        <v>519</v>
      </c>
      <c r="D634" s="5" t="s">
        <v>754</v>
      </c>
      <c r="E634" s="5">
        <v>39.795918999999998</v>
      </c>
      <c r="F634" s="5">
        <v>-119.009996</v>
      </c>
      <c r="G634" s="5">
        <v>1992</v>
      </c>
      <c r="W634" s="5" t="s">
        <v>44</v>
      </c>
      <c r="AJ634" s="5" t="s">
        <v>755</v>
      </c>
    </row>
    <row r="635" spans="1:36" x14ac:dyDescent="0.25">
      <c r="A635" s="5" t="s">
        <v>51</v>
      </c>
      <c r="B635" s="5" t="s">
        <v>509</v>
      </c>
      <c r="C635" s="5" t="s">
        <v>519</v>
      </c>
      <c r="D635" s="5" t="s">
        <v>756</v>
      </c>
      <c r="E635" s="5">
        <v>42.099302999999999</v>
      </c>
      <c r="F635" s="5">
        <v>-113.382436</v>
      </c>
      <c r="G635" s="5">
        <v>1980</v>
      </c>
      <c r="W635" s="5" t="s">
        <v>44</v>
      </c>
      <c r="AJ635" s="5" t="s">
        <v>757</v>
      </c>
    </row>
    <row r="636" spans="1:36" x14ac:dyDescent="0.25">
      <c r="A636" s="5" t="s">
        <v>758</v>
      </c>
      <c r="B636" s="5" t="s">
        <v>509</v>
      </c>
      <c r="C636" s="5" t="s">
        <v>519</v>
      </c>
      <c r="D636" s="5" t="s">
        <v>759</v>
      </c>
      <c r="E636" s="5">
        <v>37.893192991748997</v>
      </c>
      <c r="F636" s="5">
        <v>28.106756591797001</v>
      </c>
      <c r="I636" s="5" t="s">
        <v>760</v>
      </c>
      <c r="J636" s="5" t="s">
        <v>631</v>
      </c>
      <c r="L636" s="5">
        <v>977</v>
      </c>
      <c r="W636" s="5" t="s">
        <v>73</v>
      </c>
      <c r="AJ636" s="5" t="s">
        <v>761</v>
      </c>
    </row>
    <row r="637" spans="1:36" x14ac:dyDescent="0.25">
      <c r="A637" s="5" t="s">
        <v>685</v>
      </c>
      <c r="B637" s="5" t="s">
        <v>509</v>
      </c>
      <c r="C637" s="5" t="s">
        <v>543</v>
      </c>
      <c r="D637" s="5" t="s">
        <v>762</v>
      </c>
      <c r="E637" s="5">
        <v>-7.1975249999999997</v>
      </c>
      <c r="F637" s="5">
        <v>107.62593099999999</v>
      </c>
      <c r="W637" s="5" t="s">
        <v>73</v>
      </c>
      <c r="AJ637" s="5" t="s">
        <v>763</v>
      </c>
    </row>
    <row r="638" spans="1:36" x14ac:dyDescent="0.25">
      <c r="A638" s="5" t="s">
        <v>685</v>
      </c>
      <c r="B638" s="5" t="s">
        <v>509</v>
      </c>
      <c r="C638" s="5" t="s">
        <v>543</v>
      </c>
      <c r="D638" s="5" t="s">
        <v>764</v>
      </c>
      <c r="E638" s="5">
        <v>-7.2178360000000001</v>
      </c>
      <c r="F638" s="5">
        <v>107.727412</v>
      </c>
      <c r="L638" s="5">
        <v>263</v>
      </c>
      <c r="U638" s="5" t="s">
        <v>131</v>
      </c>
      <c r="V638" s="5" t="s">
        <v>765</v>
      </c>
      <c r="W638" s="5" t="s">
        <v>73</v>
      </c>
      <c r="AC638" s="17">
        <f>(319218620+178671267+280377254)/1000</f>
        <v>778267.14099999995</v>
      </c>
      <c r="AD638" s="5" t="s">
        <v>92</v>
      </c>
      <c r="AJ638" s="5" t="s">
        <v>766</v>
      </c>
    </row>
    <row r="639" spans="1:36" x14ac:dyDescent="0.25">
      <c r="A639" s="5" t="s">
        <v>508</v>
      </c>
      <c r="B639" s="5" t="s">
        <v>509</v>
      </c>
      <c r="C639" s="5" t="s">
        <v>767</v>
      </c>
      <c r="D639" s="5" t="s">
        <v>768</v>
      </c>
      <c r="E639" s="5">
        <v>27.507173000000002</v>
      </c>
      <c r="F639" s="5">
        <v>-112.55726900000001</v>
      </c>
      <c r="G639" s="6">
        <v>39989</v>
      </c>
      <c r="H639" s="6" t="s">
        <v>760</v>
      </c>
      <c r="L639" s="5">
        <v>290</v>
      </c>
      <c r="W639" s="5" t="s">
        <v>73</v>
      </c>
      <c r="AJ639" s="5" t="s">
        <v>695</v>
      </c>
    </row>
    <row r="640" spans="1:36" x14ac:dyDescent="0.25">
      <c r="A640" s="5" t="s">
        <v>678</v>
      </c>
      <c r="B640" s="5" t="s">
        <v>509</v>
      </c>
      <c r="C640" s="5" t="s">
        <v>2535</v>
      </c>
      <c r="D640" s="5" t="s">
        <v>2536</v>
      </c>
      <c r="E640" s="5">
        <v>37.493226999999997</v>
      </c>
      <c r="F640" s="5">
        <v>139.75181000000001</v>
      </c>
      <c r="G640" s="6" t="s">
        <v>2537</v>
      </c>
      <c r="H640" s="6"/>
      <c r="T640" s="5" t="s">
        <v>513</v>
      </c>
      <c r="V640" s="5" t="s">
        <v>2538</v>
      </c>
      <c r="W640" s="5" t="s">
        <v>73</v>
      </c>
      <c r="X640" s="5" t="s">
        <v>2655</v>
      </c>
      <c r="AA640" s="5">
        <f>(2000*1000)/(60*60*24)</f>
        <v>23.148148148148149</v>
      </c>
      <c r="AB640" s="5" t="s">
        <v>58</v>
      </c>
      <c r="AH640" s="5">
        <v>341</v>
      </c>
      <c r="AJ640" s="5" t="s">
        <v>2656</v>
      </c>
    </row>
    <row r="641" spans="1:36" x14ac:dyDescent="0.25">
      <c r="A641" s="5" t="s">
        <v>51</v>
      </c>
      <c r="B641" s="5" t="s">
        <v>509</v>
      </c>
      <c r="C641" s="5" t="s">
        <v>2133</v>
      </c>
      <c r="D641" s="5" t="s">
        <v>2657</v>
      </c>
      <c r="E641" s="5">
        <v>40.369275212060998</v>
      </c>
      <c r="F641" s="5">
        <v>-119.405868675543</v>
      </c>
      <c r="G641" s="5">
        <v>1987</v>
      </c>
      <c r="H641" s="6"/>
      <c r="U641" s="5">
        <v>1500</v>
      </c>
      <c r="W641" s="5" t="s">
        <v>44</v>
      </c>
      <c r="AA641" s="5">
        <v>280</v>
      </c>
      <c r="AB641" s="5" t="s">
        <v>118</v>
      </c>
      <c r="AI641" s="5" t="s">
        <v>2658</v>
      </c>
      <c r="AJ641" s="5" t="s">
        <v>2659</v>
      </c>
    </row>
    <row r="642" spans="1:36" x14ac:dyDescent="0.25">
      <c r="A642" s="5" t="s">
        <v>769</v>
      </c>
      <c r="B642" s="22" t="s">
        <v>770</v>
      </c>
      <c r="C642" s="5" t="s">
        <v>771</v>
      </c>
      <c r="D642" s="5" t="s">
        <v>772</v>
      </c>
      <c r="E642" s="5">
        <v>28.146999999999998</v>
      </c>
      <c r="F642" s="5">
        <v>84.707999999999998</v>
      </c>
      <c r="M642" s="5">
        <v>7.8</v>
      </c>
      <c r="N642" s="5" t="s">
        <v>40</v>
      </c>
      <c r="O642" s="5">
        <v>15000</v>
      </c>
      <c r="P642" s="7">
        <v>42119</v>
      </c>
      <c r="Q642" s="5">
        <v>2015</v>
      </c>
      <c r="W642" s="5" t="s">
        <v>73</v>
      </c>
      <c r="AG642" s="8" t="s">
        <v>1996</v>
      </c>
      <c r="AJ642" s="5" t="s">
        <v>773</v>
      </c>
    </row>
    <row r="643" spans="1:36" x14ac:dyDescent="0.25">
      <c r="A643" s="5" t="s">
        <v>1754</v>
      </c>
      <c r="B643" s="22" t="s">
        <v>770</v>
      </c>
      <c r="C643" s="5" t="s">
        <v>771</v>
      </c>
      <c r="D643" s="5" t="s">
        <v>2342</v>
      </c>
      <c r="E643" s="5">
        <v>34.909999999999997</v>
      </c>
      <c r="F643" s="5">
        <v>45.96</v>
      </c>
      <c r="M643" s="5">
        <v>7.3</v>
      </c>
      <c r="N643" s="5" t="s">
        <v>40</v>
      </c>
      <c r="O643" s="5">
        <v>19000</v>
      </c>
      <c r="P643" s="7">
        <v>43051</v>
      </c>
      <c r="Q643" s="5">
        <v>2017</v>
      </c>
      <c r="W643" s="5" t="s">
        <v>73</v>
      </c>
      <c r="AG643" s="8"/>
      <c r="AJ643" s="5" t="s">
        <v>2343</v>
      </c>
    </row>
    <row r="644" spans="1:36" x14ac:dyDescent="0.25">
      <c r="A644" s="5" t="s">
        <v>172</v>
      </c>
      <c r="B644" s="22" t="s">
        <v>770</v>
      </c>
      <c r="C644" s="5" t="s">
        <v>771</v>
      </c>
      <c r="D644" s="5" t="s">
        <v>774</v>
      </c>
      <c r="E644" s="5">
        <v>37.678688000000001</v>
      </c>
      <c r="F644" s="5">
        <v>-1.692868</v>
      </c>
      <c r="G644" s="5" t="s">
        <v>775</v>
      </c>
      <c r="L644" s="5">
        <v>149</v>
      </c>
      <c r="M644" s="5">
        <v>5.0999999999999996</v>
      </c>
      <c r="N644" s="5" t="s">
        <v>40</v>
      </c>
      <c r="O644" s="5">
        <v>3000</v>
      </c>
      <c r="P644" s="7">
        <v>40674</v>
      </c>
      <c r="Q644" s="5">
        <v>2011</v>
      </c>
      <c r="W644" s="5" t="s">
        <v>44</v>
      </c>
      <c r="AG644" s="5">
        <v>7.0000000000000001E-3</v>
      </c>
      <c r="AJ644" s="5" t="s">
        <v>776</v>
      </c>
    </row>
    <row r="645" spans="1:36" x14ac:dyDescent="0.25">
      <c r="A645" s="5" t="s">
        <v>2398</v>
      </c>
      <c r="B645" s="22" t="s">
        <v>770</v>
      </c>
      <c r="C645" s="5" t="s">
        <v>771</v>
      </c>
      <c r="D645" s="5" t="s">
        <v>2399</v>
      </c>
      <c r="E645" s="5">
        <v>32.843200000000003</v>
      </c>
      <c r="F645" s="5">
        <v>35.582900000000002</v>
      </c>
      <c r="I645" s="5" t="s">
        <v>2400</v>
      </c>
      <c r="M645" s="5">
        <v>4.5</v>
      </c>
      <c r="N645" s="5" t="s">
        <v>40</v>
      </c>
      <c r="O645" s="5">
        <v>9000</v>
      </c>
      <c r="P645" s="7">
        <v>43285</v>
      </c>
      <c r="Q645" s="5">
        <v>2018</v>
      </c>
      <c r="S645" s="5">
        <v>10000</v>
      </c>
      <c r="T645" s="5" t="s">
        <v>2401</v>
      </c>
      <c r="U645" s="5" t="s">
        <v>2402</v>
      </c>
      <c r="V645" s="5" t="s">
        <v>883</v>
      </c>
      <c r="W645" s="5" t="s">
        <v>90</v>
      </c>
      <c r="AF645" s="5">
        <v>0.5</v>
      </c>
      <c r="AG645" s="5">
        <v>0.1</v>
      </c>
      <c r="AJ645" s="5" t="s">
        <v>2418</v>
      </c>
    </row>
    <row r="646" spans="1:36" x14ac:dyDescent="0.25">
      <c r="A646" s="5" t="s">
        <v>784</v>
      </c>
      <c r="B646" s="22" t="s">
        <v>770</v>
      </c>
      <c r="C646" s="5" t="s">
        <v>770</v>
      </c>
      <c r="D646" s="5" t="s">
        <v>2660</v>
      </c>
      <c r="E646" s="5">
        <v>-22.116285000000001</v>
      </c>
      <c r="F646" s="5">
        <v>-51.411166000000001</v>
      </c>
      <c r="I646" s="5">
        <v>1983</v>
      </c>
      <c r="M646" s="5">
        <v>3.8</v>
      </c>
      <c r="N646" s="5" t="s">
        <v>2661</v>
      </c>
      <c r="P646" s="7">
        <v>32238</v>
      </c>
      <c r="Q646" s="5">
        <v>1988</v>
      </c>
      <c r="W646" s="5" t="s">
        <v>44</v>
      </c>
      <c r="AJ646" s="5" t="s">
        <v>2662</v>
      </c>
    </row>
    <row r="647" spans="1:36" ht="15" customHeight="1" x14ac:dyDescent="0.25">
      <c r="A647" s="5" t="s">
        <v>172</v>
      </c>
      <c r="B647" s="22" t="s">
        <v>770</v>
      </c>
      <c r="C647" s="5" t="s">
        <v>777</v>
      </c>
      <c r="D647" s="5" t="s">
        <v>778</v>
      </c>
      <c r="E647" s="5">
        <v>38.091571999999999</v>
      </c>
      <c r="F647" s="5">
        <v>-3.5118999999999998</v>
      </c>
      <c r="I647" s="5" t="s">
        <v>779</v>
      </c>
      <c r="L647" s="5">
        <v>2274</v>
      </c>
      <c r="M647" s="5">
        <v>3.72</v>
      </c>
      <c r="N647" s="5" t="s">
        <v>40</v>
      </c>
      <c r="O647" s="5">
        <v>5000</v>
      </c>
      <c r="P647" s="7">
        <v>41396</v>
      </c>
      <c r="Q647" s="5">
        <v>2013</v>
      </c>
      <c r="U647" s="5" t="s">
        <v>780</v>
      </c>
      <c r="V647" s="5" t="s">
        <v>781</v>
      </c>
      <c r="W647" s="5" t="s">
        <v>90</v>
      </c>
      <c r="AI647" s="5" t="s">
        <v>782</v>
      </c>
      <c r="AJ647" s="5" t="s">
        <v>783</v>
      </c>
    </row>
    <row r="648" spans="1:36" x14ac:dyDescent="0.25">
      <c r="A648" s="5" t="s">
        <v>784</v>
      </c>
      <c r="B648" s="22" t="s">
        <v>770</v>
      </c>
      <c r="C648" s="5" t="s">
        <v>771</v>
      </c>
      <c r="D648" s="5" t="s">
        <v>2344</v>
      </c>
      <c r="E648" s="5">
        <v>-21.040887999999999</v>
      </c>
      <c r="F648" s="5">
        <v>-48.517504000000002</v>
      </c>
      <c r="G648" s="5" t="s">
        <v>785</v>
      </c>
      <c r="I648" s="5" t="s">
        <v>545</v>
      </c>
      <c r="L648" s="5" t="s">
        <v>786</v>
      </c>
      <c r="M648" s="5">
        <v>2.9</v>
      </c>
      <c r="P648" s="7" t="s">
        <v>787</v>
      </c>
      <c r="Q648" s="5">
        <v>2005</v>
      </c>
      <c r="T648" s="5" t="s">
        <v>788</v>
      </c>
      <c r="U648" s="5" t="s">
        <v>789</v>
      </c>
      <c r="V648" s="5" t="s">
        <v>790</v>
      </c>
      <c r="W648" s="5" t="s">
        <v>44</v>
      </c>
      <c r="AA648" s="5">
        <v>52.8</v>
      </c>
      <c r="AB648" s="5" t="s">
        <v>118</v>
      </c>
      <c r="AJ648" s="5" t="s">
        <v>791</v>
      </c>
    </row>
    <row r="649" spans="1:36" x14ac:dyDescent="0.25">
      <c r="A649" s="5" t="s">
        <v>51</v>
      </c>
      <c r="B649" s="22" t="s">
        <v>770</v>
      </c>
      <c r="C649" s="5" t="s">
        <v>770</v>
      </c>
      <c r="D649" s="5" t="s">
        <v>792</v>
      </c>
      <c r="E649" s="5">
        <v>36.225009999999997</v>
      </c>
      <c r="F649" s="5">
        <v>-119.58071</v>
      </c>
      <c r="G649" s="5">
        <v>1860</v>
      </c>
      <c r="W649" s="5" t="s">
        <v>90</v>
      </c>
      <c r="AC649" s="5">
        <v>160000000000</v>
      </c>
      <c r="AD649" s="5" t="s">
        <v>92</v>
      </c>
      <c r="AG649" s="5">
        <v>-1E-3</v>
      </c>
      <c r="AI649" s="5" t="s">
        <v>793</v>
      </c>
      <c r="AJ649" s="5" t="s">
        <v>794</v>
      </c>
    </row>
    <row r="650" spans="1:36" x14ac:dyDescent="0.25">
      <c r="A650" s="5" t="s">
        <v>1082</v>
      </c>
      <c r="B650" s="22" t="s">
        <v>770</v>
      </c>
      <c r="C650" s="5" t="s">
        <v>770</v>
      </c>
      <c r="D650" s="5" t="s">
        <v>2550</v>
      </c>
      <c r="E650" s="5">
        <v>28.654769999999999</v>
      </c>
      <c r="F650" s="5">
        <v>77.213530000000006</v>
      </c>
      <c r="T650" s="5" t="s">
        <v>2551</v>
      </c>
      <c r="W650" s="5" t="s">
        <v>73</v>
      </c>
      <c r="AJ650" s="5" t="s">
        <v>2552</v>
      </c>
    </row>
    <row r="651" spans="1:36" x14ac:dyDescent="0.25">
      <c r="A651" s="5" t="s">
        <v>784</v>
      </c>
      <c r="B651" s="22" t="s">
        <v>770</v>
      </c>
      <c r="C651" s="5" t="s">
        <v>770</v>
      </c>
      <c r="D651" s="5" t="s">
        <v>2663</v>
      </c>
      <c r="E651" s="5">
        <v>-20.732192000000001</v>
      </c>
      <c r="F651" s="5">
        <v>-47.749445999999999</v>
      </c>
      <c r="G651" s="5">
        <v>1977</v>
      </c>
      <c r="I651" s="5" t="s">
        <v>2664</v>
      </c>
      <c r="T651" s="5" t="s">
        <v>667</v>
      </c>
      <c r="V651" s="5">
        <v>217</v>
      </c>
      <c r="W651" s="5" t="s">
        <v>44</v>
      </c>
      <c r="AJ651" s="5" t="s">
        <v>2665</v>
      </c>
    </row>
    <row r="652" spans="1:36" x14ac:dyDescent="0.25">
      <c r="A652" s="5" t="s">
        <v>784</v>
      </c>
      <c r="B652" s="22" t="s">
        <v>770</v>
      </c>
      <c r="C652" s="5" t="s">
        <v>770</v>
      </c>
      <c r="D652" s="5" t="s">
        <v>2666</v>
      </c>
      <c r="E652" s="5">
        <v>-21.267403999999999</v>
      </c>
      <c r="F652" s="5">
        <v>-48.689599999999999</v>
      </c>
      <c r="I652" s="5">
        <v>1959</v>
      </c>
      <c r="P652" s="5">
        <v>1959</v>
      </c>
      <c r="Q652" s="5">
        <v>1959</v>
      </c>
      <c r="W652" s="5" t="s">
        <v>44</v>
      </c>
      <c r="AJ652" s="5" t="s">
        <v>2667</v>
      </c>
    </row>
    <row r="653" spans="1:36" x14ac:dyDescent="0.25">
      <c r="A653" s="14" t="s">
        <v>149</v>
      </c>
      <c r="B653" s="5" t="s">
        <v>795</v>
      </c>
      <c r="C653" s="5" t="s">
        <v>795</v>
      </c>
      <c r="D653" s="14" t="s">
        <v>796</v>
      </c>
      <c r="E653" s="14">
        <v>54.283954000000001</v>
      </c>
      <c r="F653" s="14">
        <v>86.160224999999997</v>
      </c>
      <c r="G653" s="5">
        <v>1948</v>
      </c>
      <c r="M653" s="14">
        <v>6.1</v>
      </c>
      <c r="N653" s="5" t="s">
        <v>65</v>
      </c>
      <c r="O653" s="5">
        <v>4000</v>
      </c>
      <c r="P653" s="13">
        <v>41443</v>
      </c>
      <c r="Q653" s="14">
        <v>2013</v>
      </c>
      <c r="R653" s="14"/>
      <c r="S653" s="14"/>
      <c r="T653" s="14" t="s">
        <v>797</v>
      </c>
      <c r="U653" s="5" t="s">
        <v>437</v>
      </c>
      <c r="V653" s="5">
        <v>0</v>
      </c>
      <c r="W653" s="5" t="s">
        <v>44</v>
      </c>
      <c r="AJ653" s="5" t="s">
        <v>798</v>
      </c>
    </row>
    <row r="654" spans="1:36" x14ac:dyDescent="0.25">
      <c r="A654" s="14" t="s">
        <v>153</v>
      </c>
      <c r="B654" s="5" t="s">
        <v>795</v>
      </c>
      <c r="C654" s="5" t="s">
        <v>831</v>
      </c>
      <c r="D654" s="14" t="s">
        <v>857</v>
      </c>
      <c r="E654" s="14">
        <v>28.41</v>
      </c>
      <c r="F654" s="14">
        <v>104.93</v>
      </c>
      <c r="G654" s="5" t="s">
        <v>2539</v>
      </c>
      <c r="I654" s="5" t="s">
        <v>2668</v>
      </c>
      <c r="M654" s="14">
        <v>5.8</v>
      </c>
      <c r="N654" s="5" t="s">
        <v>40</v>
      </c>
      <c r="O654" s="5" t="s">
        <v>2540</v>
      </c>
      <c r="P654" s="13">
        <v>43633</v>
      </c>
      <c r="Q654" s="14">
        <v>2019</v>
      </c>
      <c r="R654" s="14"/>
      <c r="S654" s="14"/>
      <c r="T654" s="14" t="s">
        <v>859</v>
      </c>
      <c r="U654" s="5" t="s">
        <v>192</v>
      </c>
      <c r="V654" s="5">
        <v>3000</v>
      </c>
      <c r="W654" s="5" t="s">
        <v>44</v>
      </c>
      <c r="AI654" s="5" t="s">
        <v>2541</v>
      </c>
      <c r="AJ654" s="5" t="s">
        <v>2669</v>
      </c>
    </row>
    <row r="655" spans="1:36" ht="15" customHeight="1" x14ac:dyDescent="0.25">
      <c r="A655" s="5" t="s">
        <v>164</v>
      </c>
      <c r="B655" s="5" t="s">
        <v>795</v>
      </c>
      <c r="C655" s="5" t="s">
        <v>799</v>
      </c>
      <c r="D655" s="5" t="s">
        <v>800</v>
      </c>
      <c r="E655" s="5">
        <v>50.802751999999998</v>
      </c>
      <c r="F655" s="5">
        <v>10.052248000000001</v>
      </c>
      <c r="G655" s="5">
        <v>1925</v>
      </c>
      <c r="M655" s="5">
        <v>5.6</v>
      </c>
      <c r="N655" s="5" t="s">
        <v>65</v>
      </c>
      <c r="O655" s="5" t="s">
        <v>801</v>
      </c>
      <c r="P655" s="7">
        <v>32580</v>
      </c>
      <c r="Q655" s="5">
        <v>1989</v>
      </c>
      <c r="T655" s="5" t="s">
        <v>802</v>
      </c>
      <c r="V655" s="5" t="s">
        <v>801</v>
      </c>
      <c r="W655" s="5" t="s">
        <v>44</v>
      </c>
      <c r="AC655" s="5">
        <v>22500000000</v>
      </c>
      <c r="AD655" s="5" t="s">
        <v>67</v>
      </c>
      <c r="AF655" s="5" t="s">
        <v>803</v>
      </c>
      <c r="AI655" s="5" t="s">
        <v>804</v>
      </c>
      <c r="AJ655" s="5" t="s">
        <v>805</v>
      </c>
    </row>
    <row r="656" spans="1:36" x14ac:dyDescent="0.25">
      <c r="A656" s="14" t="s">
        <v>550</v>
      </c>
      <c r="B656" s="5" t="s">
        <v>795</v>
      </c>
      <c r="C656" s="5" t="s">
        <v>811</v>
      </c>
      <c r="D656" s="14" t="s">
        <v>812</v>
      </c>
      <c r="E656" s="14">
        <v>-32.964193999999999</v>
      </c>
      <c r="F656" s="14">
        <v>151.606966</v>
      </c>
      <c r="G656" s="5">
        <v>1801</v>
      </c>
      <c r="L656" s="5" t="s">
        <v>813</v>
      </c>
      <c r="M656" s="14">
        <v>5.6</v>
      </c>
      <c r="N656" s="5" t="s">
        <v>65</v>
      </c>
      <c r="O656" s="5">
        <v>9100</v>
      </c>
      <c r="P656" s="13">
        <v>32869</v>
      </c>
      <c r="Q656" s="14">
        <v>1989</v>
      </c>
      <c r="R656" s="14"/>
      <c r="S656" s="14"/>
      <c r="T656" s="14" t="s">
        <v>797</v>
      </c>
      <c r="U656" s="5" t="s">
        <v>814</v>
      </c>
      <c r="V656" s="5" t="s">
        <v>815</v>
      </c>
      <c r="W656" s="5" t="s">
        <v>44</v>
      </c>
      <c r="AC656" s="5">
        <v>297000000000</v>
      </c>
      <c r="AD656" s="5" t="s">
        <v>67</v>
      </c>
      <c r="AG656" s="5">
        <v>-0.01</v>
      </c>
      <c r="AJ656" s="5" t="s">
        <v>816</v>
      </c>
    </row>
    <row r="657" spans="1:36" x14ac:dyDescent="0.25">
      <c r="A657" s="14" t="s">
        <v>806</v>
      </c>
      <c r="B657" s="5" t="s">
        <v>795</v>
      </c>
      <c r="C657" s="5" t="s">
        <v>795</v>
      </c>
      <c r="D657" s="14" t="s">
        <v>807</v>
      </c>
      <c r="E657" s="14">
        <v>-28.032</v>
      </c>
      <c r="F657" s="14">
        <v>26.738</v>
      </c>
      <c r="M657" s="14">
        <v>5.6</v>
      </c>
      <c r="N657" s="5" t="s">
        <v>808</v>
      </c>
      <c r="O657" s="5" t="s">
        <v>212</v>
      </c>
      <c r="P657" s="13">
        <v>34637</v>
      </c>
      <c r="Q657" s="14">
        <v>1994</v>
      </c>
      <c r="R657" s="14"/>
      <c r="S657" s="14"/>
      <c r="T657" s="14" t="s">
        <v>809</v>
      </c>
      <c r="W657" s="5" t="s">
        <v>44</v>
      </c>
      <c r="AJ657" s="5" t="s">
        <v>810</v>
      </c>
    </row>
    <row r="658" spans="1:36" ht="15" customHeight="1" x14ac:dyDescent="0.25">
      <c r="A658" s="14" t="s">
        <v>806</v>
      </c>
      <c r="B658" s="5" t="s">
        <v>795</v>
      </c>
      <c r="C658" s="5" t="s">
        <v>795</v>
      </c>
      <c r="D658" s="14" t="s">
        <v>1997</v>
      </c>
      <c r="E658" s="14">
        <v>-26.987341000000001</v>
      </c>
      <c r="F658" s="14">
        <v>26.802192000000002</v>
      </c>
      <c r="G658" s="5">
        <v>2003</v>
      </c>
      <c r="M658" s="14">
        <v>5.5</v>
      </c>
      <c r="N658" s="5" t="s">
        <v>65</v>
      </c>
      <c r="P658" s="13">
        <v>41856</v>
      </c>
      <c r="Q658" s="14">
        <v>2014</v>
      </c>
      <c r="R658" s="14"/>
      <c r="S658" s="14"/>
      <c r="T658" s="14" t="s">
        <v>809</v>
      </c>
      <c r="W658" s="5" t="s">
        <v>44</v>
      </c>
      <c r="AJ658" s="5" t="s">
        <v>1998</v>
      </c>
    </row>
    <row r="659" spans="1:36" x14ac:dyDescent="0.25">
      <c r="A659" s="14" t="s">
        <v>550</v>
      </c>
      <c r="B659" s="5" t="s">
        <v>795</v>
      </c>
      <c r="C659" s="5" t="s">
        <v>795</v>
      </c>
      <c r="D659" s="14" t="s">
        <v>817</v>
      </c>
      <c r="E659" s="14">
        <v>-32.924182999999999</v>
      </c>
      <c r="F659" s="14">
        <v>151.29503099999999</v>
      </c>
      <c r="G659" s="5">
        <v>1801</v>
      </c>
      <c r="M659" s="14">
        <v>5.4</v>
      </c>
      <c r="N659" s="5" t="s">
        <v>65</v>
      </c>
      <c r="O659" s="5">
        <v>1300</v>
      </c>
      <c r="P659" s="13">
        <v>34552</v>
      </c>
      <c r="Q659" s="14">
        <v>1994</v>
      </c>
      <c r="R659" s="14"/>
      <c r="S659" s="14"/>
      <c r="T659" s="14" t="s">
        <v>797</v>
      </c>
      <c r="V659" s="5">
        <v>250</v>
      </c>
      <c r="W659" s="5" t="s">
        <v>44</v>
      </c>
      <c r="AC659" s="5">
        <v>785000000000</v>
      </c>
      <c r="AD659" s="5" t="s">
        <v>67</v>
      </c>
      <c r="AJ659" s="5" t="s">
        <v>2595</v>
      </c>
    </row>
    <row r="660" spans="1:36" x14ac:dyDescent="0.25">
      <c r="A660" s="14" t="s">
        <v>550</v>
      </c>
      <c r="B660" s="5" t="s">
        <v>795</v>
      </c>
      <c r="C660" s="5" t="s">
        <v>795</v>
      </c>
      <c r="D660" s="14" t="s">
        <v>821</v>
      </c>
      <c r="E660" s="14">
        <v>-32.734425999999999</v>
      </c>
      <c r="F660" s="14">
        <v>151.55632299999999</v>
      </c>
      <c r="M660" s="14">
        <v>5.3</v>
      </c>
      <c r="N660" s="5" t="s">
        <v>65</v>
      </c>
      <c r="P660" s="13" t="s">
        <v>822</v>
      </c>
      <c r="Q660" s="14">
        <v>1868</v>
      </c>
      <c r="R660" s="14"/>
      <c r="S660" s="14"/>
      <c r="T660" s="14" t="s">
        <v>797</v>
      </c>
      <c r="W660" s="5" t="s">
        <v>44</v>
      </c>
      <c r="AJ660" s="5" t="s">
        <v>823</v>
      </c>
    </row>
    <row r="661" spans="1:36" x14ac:dyDescent="0.25">
      <c r="A661" s="14" t="s">
        <v>550</v>
      </c>
      <c r="B661" s="5" t="s">
        <v>795</v>
      </c>
      <c r="C661" s="5" t="s">
        <v>795</v>
      </c>
      <c r="D661" s="14" t="s">
        <v>824</v>
      </c>
      <c r="E661" s="14">
        <v>-32.996459999999999</v>
      </c>
      <c r="F661" s="14">
        <v>151.59320700000001</v>
      </c>
      <c r="M661" s="14">
        <v>5.3</v>
      </c>
      <c r="N661" s="5" t="s">
        <v>65</v>
      </c>
      <c r="P661" s="13">
        <v>9484</v>
      </c>
      <c r="Q661" s="14">
        <v>1925</v>
      </c>
      <c r="R661" s="14"/>
      <c r="S661" s="14"/>
      <c r="T661" s="14" t="s">
        <v>797</v>
      </c>
      <c r="W661" s="5" t="s">
        <v>44</v>
      </c>
      <c r="AJ661" s="5" t="s">
        <v>823</v>
      </c>
    </row>
    <row r="662" spans="1:36" x14ac:dyDescent="0.25">
      <c r="A662" s="14" t="s">
        <v>806</v>
      </c>
      <c r="B662" s="5" t="s">
        <v>795</v>
      </c>
      <c r="C662" s="5" t="s">
        <v>795</v>
      </c>
      <c r="D662" s="14" t="s">
        <v>819</v>
      </c>
      <c r="E662" s="14">
        <v>-26.852943</v>
      </c>
      <c r="F662" s="14">
        <v>26.647948</v>
      </c>
      <c r="M662" s="14">
        <v>5.3</v>
      </c>
      <c r="N662" s="5" t="s">
        <v>65</v>
      </c>
      <c r="P662" s="13">
        <v>38420</v>
      </c>
      <c r="Q662" s="14">
        <v>2005</v>
      </c>
      <c r="R662" s="14"/>
      <c r="S662" s="14"/>
      <c r="T662" s="14" t="s">
        <v>809</v>
      </c>
      <c r="W662" s="5" t="s">
        <v>44</v>
      </c>
      <c r="AJ662" s="5" t="s">
        <v>820</v>
      </c>
    </row>
    <row r="663" spans="1:36" x14ac:dyDescent="0.25">
      <c r="A663" s="5" t="s">
        <v>51</v>
      </c>
      <c r="B663" s="5" t="s">
        <v>795</v>
      </c>
      <c r="C663" s="5" t="s">
        <v>831</v>
      </c>
      <c r="D663" s="5" t="s">
        <v>832</v>
      </c>
      <c r="E663" s="5">
        <v>42.864027</v>
      </c>
      <c r="F663" s="5">
        <v>-78.280505000000005</v>
      </c>
      <c r="G663" s="5" t="s">
        <v>833</v>
      </c>
      <c r="I663" s="5">
        <v>1929</v>
      </c>
      <c r="J663" s="5">
        <v>1967</v>
      </c>
      <c r="M663" s="5">
        <v>5.2</v>
      </c>
      <c r="N663" s="5" t="s">
        <v>65</v>
      </c>
      <c r="P663" s="7">
        <v>10817</v>
      </c>
      <c r="Q663" s="5">
        <v>1929</v>
      </c>
      <c r="W663" s="5" t="s">
        <v>44</v>
      </c>
      <c r="AE663" s="5">
        <v>5</v>
      </c>
      <c r="AF663" s="5">
        <v>5</v>
      </c>
      <c r="AJ663" s="5" t="s">
        <v>834</v>
      </c>
    </row>
    <row r="664" spans="1:36" x14ac:dyDescent="0.25">
      <c r="A664" s="14" t="s">
        <v>164</v>
      </c>
      <c r="B664" s="5" t="s">
        <v>795</v>
      </c>
      <c r="C664" s="5" t="s">
        <v>795</v>
      </c>
      <c r="D664" s="14" t="s">
        <v>835</v>
      </c>
      <c r="E664" s="14">
        <v>50.796514000000002</v>
      </c>
      <c r="F664" s="14">
        <v>9.9986549999999994</v>
      </c>
      <c r="G664" s="5">
        <v>1925</v>
      </c>
      <c r="M664" s="14">
        <v>5.2</v>
      </c>
      <c r="N664" s="5" t="s">
        <v>65</v>
      </c>
      <c r="O664" s="5">
        <v>800</v>
      </c>
      <c r="P664" s="13">
        <v>27568</v>
      </c>
      <c r="Q664" s="14">
        <v>1975</v>
      </c>
      <c r="R664" s="14"/>
      <c r="S664" s="14"/>
      <c r="T664" s="14" t="s">
        <v>802</v>
      </c>
      <c r="V664" s="5">
        <v>800</v>
      </c>
      <c r="W664" s="5" t="s">
        <v>44</v>
      </c>
      <c r="AA664" s="5">
        <v>140000000000</v>
      </c>
      <c r="AB664" s="5" t="s">
        <v>67</v>
      </c>
      <c r="AJ664" s="5" t="s">
        <v>818</v>
      </c>
    </row>
    <row r="665" spans="1:36" x14ac:dyDescent="0.25">
      <c r="A665" s="14" t="s">
        <v>806</v>
      </c>
      <c r="B665" s="5" t="s">
        <v>795</v>
      </c>
      <c r="C665" s="5" t="s">
        <v>795</v>
      </c>
      <c r="D665" s="14" t="s">
        <v>829</v>
      </c>
      <c r="E665" s="14">
        <v>-27.995404000000001</v>
      </c>
      <c r="F665" s="14">
        <v>26.781562999999998</v>
      </c>
      <c r="M665" s="14">
        <v>5.2</v>
      </c>
      <c r="N665" s="5" t="s">
        <v>65</v>
      </c>
      <c r="P665" s="13">
        <v>28102</v>
      </c>
      <c r="Q665" s="14">
        <v>1976</v>
      </c>
      <c r="R665" s="14"/>
      <c r="S665" s="14"/>
      <c r="T665" s="14" t="s">
        <v>809</v>
      </c>
      <c r="W665" s="5" t="s">
        <v>44</v>
      </c>
      <c r="AJ665" s="5" t="s">
        <v>830</v>
      </c>
    </row>
    <row r="666" spans="1:36" ht="15" customHeight="1" x14ac:dyDescent="0.25">
      <c r="A666" s="14" t="s">
        <v>51</v>
      </c>
      <c r="B666" s="5" t="s">
        <v>795</v>
      </c>
      <c r="C666" s="5" t="s">
        <v>825</v>
      </c>
      <c r="D666" s="14" t="s">
        <v>826</v>
      </c>
      <c r="E666" s="14">
        <v>41.501100000000001</v>
      </c>
      <c r="F666" s="14">
        <v>-109.758184</v>
      </c>
      <c r="M666" s="14">
        <v>5.2</v>
      </c>
      <c r="N666" s="5" t="s">
        <v>808</v>
      </c>
      <c r="O666" s="5">
        <v>500</v>
      </c>
      <c r="P666" s="13">
        <v>34733</v>
      </c>
      <c r="Q666" s="14">
        <v>1995</v>
      </c>
      <c r="R666" s="14" t="s">
        <v>181</v>
      </c>
      <c r="S666" s="14"/>
      <c r="T666" s="14" t="s">
        <v>827</v>
      </c>
      <c r="V666" s="5">
        <v>500</v>
      </c>
      <c r="W666" s="5" t="s">
        <v>44</v>
      </c>
      <c r="AJ666" s="5" t="s">
        <v>828</v>
      </c>
    </row>
    <row r="667" spans="1:36" x14ac:dyDescent="0.25">
      <c r="A667" s="14" t="s">
        <v>51</v>
      </c>
      <c r="B667" s="5" t="s">
        <v>795</v>
      </c>
      <c r="C667" s="5" t="s">
        <v>795</v>
      </c>
      <c r="D667" s="14" t="s">
        <v>2596</v>
      </c>
      <c r="E667" s="14">
        <v>33.106667999999999</v>
      </c>
      <c r="F667" s="14">
        <v>-109.36180400000001</v>
      </c>
      <c r="G667" s="5">
        <v>1872</v>
      </c>
      <c r="I667" s="5">
        <v>2002</v>
      </c>
      <c r="M667" s="14">
        <v>5.2</v>
      </c>
      <c r="P667" s="13">
        <v>41816</v>
      </c>
      <c r="Q667" s="14">
        <v>2014</v>
      </c>
      <c r="R667" s="14"/>
      <c r="S667" s="14"/>
      <c r="T667" s="14" t="s">
        <v>844</v>
      </c>
      <c r="V667" s="5" t="s">
        <v>2141</v>
      </c>
      <c r="W667" s="5" t="s">
        <v>44</v>
      </c>
      <c r="AA667" s="5">
        <f>(900000*1000)/(60*60*24)</f>
        <v>10416.666666666666</v>
      </c>
      <c r="AB667" s="5" t="s">
        <v>58</v>
      </c>
      <c r="AI667" s="5" t="s">
        <v>2142</v>
      </c>
      <c r="AJ667" s="5" t="s">
        <v>2143</v>
      </c>
    </row>
    <row r="668" spans="1:36" x14ac:dyDescent="0.25">
      <c r="A668" s="5" t="s">
        <v>149</v>
      </c>
      <c r="B668" s="5" t="s">
        <v>795</v>
      </c>
      <c r="C668" s="5" t="s">
        <v>836</v>
      </c>
      <c r="D668" s="5" t="s">
        <v>837</v>
      </c>
      <c r="E668" s="5">
        <v>67.667102</v>
      </c>
      <c r="F668" s="5">
        <v>34.133139999999997</v>
      </c>
      <c r="M668" s="5">
        <v>5.0999999999999996</v>
      </c>
      <c r="N668" s="5" t="s">
        <v>65</v>
      </c>
      <c r="P668" s="7">
        <v>36389</v>
      </c>
      <c r="Q668" s="5">
        <v>1999</v>
      </c>
      <c r="T668" s="5" t="s">
        <v>838</v>
      </c>
      <c r="W668" s="5" t="s">
        <v>44</v>
      </c>
      <c r="AJ668" s="5" t="s">
        <v>839</v>
      </c>
    </row>
    <row r="669" spans="1:36" x14ac:dyDescent="0.25">
      <c r="A669" s="14" t="s">
        <v>164</v>
      </c>
      <c r="B669" s="5" t="s">
        <v>795</v>
      </c>
      <c r="C669" s="5" t="s">
        <v>795</v>
      </c>
      <c r="D669" s="14" t="s">
        <v>840</v>
      </c>
      <c r="E669" s="14">
        <v>50.905163999999999</v>
      </c>
      <c r="F669" s="14">
        <v>9.9895630000000004</v>
      </c>
      <c r="M669" s="14">
        <v>5</v>
      </c>
      <c r="N669" s="5" t="s">
        <v>65</v>
      </c>
      <c r="P669" s="13"/>
      <c r="Q669" s="14">
        <v>1953</v>
      </c>
      <c r="R669" s="14"/>
      <c r="S669" s="14"/>
      <c r="T669" s="14" t="s">
        <v>802</v>
      </c>
      <c r="W669" s="5" t="s">
        <v>44</v>
      </c>
      <c r="AJ669" s="5" t="s">
        <v>841</v>
      </c>
    </row>
    <row r="670" spans="1:36" x14ac:dyDescent="0.25">
      <c r="A670" s="5" t="s">
        <v>842</v>
      </c>
      <c r="B670" s="5" t="s">
        <v>795</v>
      </c>
      <c r="C670" s="5" t="s">
        <v>795</v>
      </c>
      <c r="D670" s="5" t="s">
        <v>843</v>
      </c>
      <c r="E670" s="5">
        <v>51.434286</v>
      </c>
      <c r="F670" s="5">
        <v>16.122951</v>
      </c>
      <c r="G670" s="5">
        <v>1957</v>
      </c>
      <c r="I670" s="6"/>
      <c r="M670" s="5">
        <v>5</v>
      </c>
      <c r="N670" s="5" t="s">
        <v>65</v>
      </c>
      <c r="P670" s="7">
        <v>28208</v>
      </c>
      <c r="Q670" s="5">
        <v>1977</v>
      </c>
      <c r="T670" s="5" t="s">
        <v>844</v>
      </c>
      <c r="W670" s="5" t="s">
        <v>44</v>
      </c>
      <c r="AJ670" s="5" t="s">
        <v>845</v>
      </c>
    </row>
    <row r="671" spans="1:36" x14ac:dyDescent="0.25">
      <c r="A671" s="14" t="s">
        <v>806</v>
      </c>
      <c r="B671" s="5" t="s">
        <v>795</v>
      </c>
      <c r="C671" s="5" t="s">
        <v>795</v>
      </c>
      <c r="D671" s="14" t="s">
        <v>852</v>
      </c>
      <c r="E671" s="14">
        <v>-26.761113000000002</v>
      </c>
      <c r="F671" s="14">
        <v>26.423145999999999</v>
      </c>
      <c r="M671" s="14">
        <v>5</v>
      </c>
      <c r="N671" s="5" t="s">
        <v>65</v>
      </c>
      <c r="P671" s="13">
        <v>35663</v>
      </c>
      <c r="Q671" s="14">
        <v>1997</v>
      </c>
      <c r="R671" s="14"/>
      <c r="S671" s="14"/>
      <c r="T671" s="14" t="s">
        <v>809</v>
      </c>
      <c r="W671" s="5" t="s">
        <v>44</v>
      </c>
      <c r="AJ671" s="5" t="s">
        <v>823</v>
      </c>
    </row>
    <row r="672" spans="1:36" x14ac:dyDescent="0.25">
      <c r="A672" s="5" t="s">
        <v>550</v>
      </c>
      <c r="B672" s="5" t="s">
        <v>795</v>
      </c>
      <c r="C672" s="5" t="s">
        <v>795</v>
      </c>
      <c r="D672" s="5" t="s">
        <v>846</v>
      </c>
      <c r="E672" s="5">
        <v>-30.776852000000002</v>
      </c>
      <c r="F672" s="5">
        <v>121.505366</v>
      </c>
      <c r="G672" s="5">
        <v>1992</v>
      </c>
      <c r="M672" s="5">
        <v>5</v>
      </c>
      <c r="N672" s="5" t="s">
        <v>65</v>
      </c>
      <c r="O672" s="5">
        <v>10000</v>
      </c>
      <c r="P672" s="7">
        <v>40288</v>
      </c>
      <c r="Q672" s="5">
        <v>2010</v>
      </c>
      <c r="T672" s="5" t="s">
        <v>809</v>
      </c>
      <c r="V672" s="5" t="s">
        <v>847</v>
      </c>
      <c r="W672" s="5" t="s">
        <v>44</v>
      </c>
      <c r="AC672" s="5">
        <v>3900000000000</v>
      </c>
      <c r="AD672" s="5" t="s">
        <v>67</v>
      </c>
      <c r="AJ672" s="5" t="s">
        <v>848</v>
      </c>
    </row>
    <row r="673" spans="1:36" x14ac:dyDescent="0.25">
      <c r="A673" s="5" t="s">
        <v>123</v>
      </c>
      <c r="B673" s="5" t="s">
        <v>795</v>
      </c>
      <c r="C673" s="5" t="s">
        <v>849</v>
      </c>
      <c r="D673" s="5" t="s">
        <v>850</v>
      </c>
      <c r="E673" s="5">
        <v>48.152132999999999</v>
      </c>
      <c r="F673" s="5">
        <v>-80.038887000000003</v>
      </c>
      <c r="M673" s="5">
        <v>5</v>
      </c>
      <c r="P673" s="5">
        <v>1964</v>
      </c>
      <c r="Q673" s="5">
        <v>1964</v>
      </c>
      <c r="T673" s="5" t="s">
        <v>809</v>
      </c>
      <c r="W673" s="5" t="s">
        <v>44</v>
      </c>
      <c r="AJ673" s="5" t="s">
        <v>851</v>
      </c>
    </row>
    <row r="674" spans="1:36" x14ac:dyDescent="0.25">
      <c r="A674" s="5" t="s">
        <v>123</v>
      </c>
      <c r="B674" s="5" t="s">
        <v>795</v>
      </c>
      <c r="C674" s="5" t="s">
        <v>853</v>
      </c>
      <c r="D674" s="5" t="s">
        <v>854</v>
      </c>
      <c r="E674" s="5">
        <v>50.732177999999998</v>
      </c>
      <c r="F674" s="5">
        <v>-101.94425200000001</v>
      </c>
      <c r="G674" s="6"/>
      <c r="H674" s="6"/>
      <c r="M674" s="5">
        <v>5</v>
      </c>
      <c r="T674" s="5" t="s">
        <v>802</v>
      </c>
      <c r="W674" s="5" t="s">
        <v>44</v>
      </c>
      <c r="AI674" s="5" t="s">
        <v>855</v>
      </c>
      <c r="AJ674" s="5" t="s">
        <v>856</v>
      </c>
    </row>
    <row r="675" spans="1:36" x14ac:dyDescent="0.25">
      <c r="A675" s="5" t="s">
        <v>189</v>
      </c>
      <c r="B675" s="5" t="s">
        <v>795</v>
      </c>
      <c r="C675" s="5" t="s">
        <v>2446</v>
      </c>
      <c r="D675" s="5" t="s">
        <v>2447</v>
      </c>
      <c r="E675" s="5">
        <v>44.521459999999998</v>
      </c>
      <c r="F675" s="5">
        <v>4.6774500000000003</v>
      </c>
      <c r="G675" s="5">
        <v>1833</v>
      </c>
      <c r="H675" s="6"/>
      <c r="M675" s="5">
        <v>4.9000000000000004</v>
      </c>
      <c r="N675" s="5" t="s">
        <v>40</v>
      </c>
      <c r="O675" s="5" t="s">
        <v>181</v>
      </c>
      <c r="P675" s="7">
        <v>43780</v>
      </c>
      <c r="Q675" s="5">
        <v>2019</v>
      </c>
      <c r="T675" s="5" t="s">
        <v>2158</v>
      </c>
      <c r="V675" s="5">
        <v>0</v>
      </c>
      <c r="W675" s="5" t="s">
        <v>44</v>
      </c>
      <c r="AA675" s="5" t="s">
        <v>2448</v>
      </c>
      <c r="AB675" s="5" t="s">
        <v>2449</v>
      </c>
      <c r="AC675" s="5">
        <f>11335817+8290294+18511103+4139120</f>
        <v>42276334</v>
      </c>
      <c r="AD675" s="5" t="s">
        <v>92</v>
      </c>
      <c r="AI675" s="5" t="s">
        <v>2450</v>
      </c>
      <c r="AJ675" s="5" t="s">
        <v>2451</v>
      </c>
    </row>
    <row r="676" spans="1:36" x14ac:dyDescent="0.25">
      <c r="A676" s="5" t="s">
        <v>153</v>
      </c>
      <c r="B676" s="5" t="s">
        <v>795</v>
      </c>
      <c r="C676" s="5" t="s">
        <v>831</v>
      </c>
      <c r="D676" s="5" t="s">
        <v>857</v>
      </c>
      <c r="E676" s="5">
        <v>28.583333</v>
      </c>
      <c r="F676" s="5">
        <v>104.916667</v>
      </c>
      <c r="G676" s="6" t="s">
        <v>858</v>
      </c>
      <c r="H676" s="6"/>
      <c r="M676" s="5">
        <v>4.8</v>
      </c>
      <c r="N676" s="5" t="s">
        <v>65</v>
      </c>
      <c r="P676" s="7">
        <v>39479</v>
      </c>
      <c r="Q676" s="5">
        <v>2008</v>
      </c>
      <c r="S676" s="5">
        <v>19000</v>
      </c>
      <c r="T676" s="5" t="s">
        <v>859</v>
      </c>
      <c r="U676" s="5" t="s">
        <v>860</v>
      </c>
      <c r="V676" s="5" t="s">
        <v>861</v>
      </c>
      <c r="W676" s="5" t="s">
        <v>44</v>
      </c>
      <c r="AC676" s="5" t="s">
        <v>862</v>
      </c>
      <c r="AD676" s="5" t="s">
        <v>92</v>
      </c>
      <c r="AI676" s="5" t="s">
        <v>863</v>
      </c>
      <c r="AJ676" s="5" t="s">
        <v>2670</v>
      </c>
    </row>
    <row r="677" spans="1:36" x14ac:dyDescent="0.25">
      <c r="A677" s="5" t="s">
        <v>806</v>
      </c>
      <c r="B677" s="5" t="s">
        <v>795</v>
      </c>
      <c r="C677" s="5" t="s">
        <v>795</v>
      </c>
      <c r="D677" s="5" t="s">
        <v>869</v>
      </c>
      <c r="E677" s="5">
        <v>-27.962</v>
      </c>
      <c r="F677" s="5">
        <v>26.76</v>
      </c>
      <c r="M677" s="5">
        <v>4.7</v>
      </c>
      <c r="N677" s="5" t="s">
        <v>65</v>
      </c>
      <c r="O677" s="5">
        <v>1800</v>
      </c>
      <c r="P677" s="7">
        <v>32533</v>
      </c>
      <c r="Q677" s="5">
        <v>1989</v>
      </c>
      <c r="T677" s="14" t="s">
        <v>809</v>
      </c>
      <c r="W677" s="5" t="s">
        <v>44</v>
      </c>
      <c r="AJ677" s="5" t="s">
        <v>868</v>
      </c>
    </row>
    <row r="678" spans="1:36" x14ac:dyDescent="0.25">
      <c r="A678" s="5" t="s">
        <v>806</v>
      </c>
      <c r="B678" s="5" t="s">
        <v>795</v>
      </c>
      <c r="C678" s="5" t="s">
        <v>795</v>
      </c>
      <c r="D678" s="5" t="s">
        <v>867</v>
      </c>
      <c r="E678" s="5">
        <v>-26.374860999999999</v>
      </c>
      <c r="F678" s="5">
        <v>27.406790999999998</v>
      </c>
      <c r="M678" s="5">
        <v>4.7</v>
      </c>
      <c r="N678" s="5" t="s">
        <v>65</v>
      </c>
      <c r="P678" s="7">
        <v>33670</v>
      </c>
      <c r="Q678" s="5">
        <v>1992</v>
      </c>
      <c r="T678" s="14" t="s">
        <v>809</v>
      </c>
      <c r="W678" s="5" t="s">
        <v>44</v>
      </c>
      <c r="AJ678" s="5" t="s">
        <v>868</v>
      </c>
    </row>
    <row r="679" spans="1:36" x14ac:dyDescent="0.25">
      <c r="A679" s="5" t="s">
        <v>149</v>
      </c>
      <c r="B679" s="5" t="s">
        <v>795</v>
      </c>
      <c r="C679" s="5" t="s">
        <v>825</v>
      </c>
      <c r="D679" s="5" t="s">
        <v>864</v>
      </c>
      <c r="E679" s="5">
        <v>59.641486999999998</v>
      </c>
      <c r="F679" s="5">
        <v>56.914363999999999</v>
      </c>
      <c r="G679" s="5">
        <v>1987</v>
      </c>
      <c r="M679" s="5">
        <v>4.7</v>
      </c>
      <c r="P679" s="7">
        <v>34339</v>
      </c>
      <c r="Q679" s="5">
        <v>1994</v>
      </c>
      <c r="T679" s="5" t="s">
        <v>802</v>
      </c>
      <c r="V679" s="5" t="s">
        <v>865</v>
      </c>
      <c r="W679" s="5" t="s">
        <v>44</v>
      </c>
      <c r="AJ679" s="5" t="s">
        <v>866</v>
      </c>
    </row>
    <row r="680" spans="1:36" x14ac:dyDescent="0.25">
      <c r="A680" s="14" t="s">
        <v>164</v>
      </c>
      <c r="B680" s="5" t="s">
        <v>795</v>
      </c>
      <c r="C680" s="5" t="s">
        <v>825</v>
      </c>
      <c r="D680" s="14" t="s">
        <v>870</v>
      </c>
      <c r="E680" s="14">
        <v>51.48</v>
      </c>
      <c r="F680" s="14">
        <v>11.79</v>
      </c>
      <c r="M680" s="14">
        <v>4.5999999999999996</v>
      </c>
      <c r="N680" s="5" t="s">
        <v>40</v>
      </c>
      <c r="O680" s="5">
        <v>1000</v>
      </c>
      <c r="P680" s="13">
        <v>14755</v>
      </c>
      <c r="Q680" s="14">
        <v>1940</v>
      </c>
      <c r="R680" s="14"/>
      <c r="S680" s="14"/>
      <c r="T680" s="14" t="s">
        <v>871</v>
      </c>
      <c r="V680" s="5">
        <v>700</v>
      </c>
      <c r="W680" s="5" t="s">
        <v>44</v>
      </c>
      <c r="AJ680" s="5" t="s">
        <v>872</v>
      </c>
    </row>
    <row r="681" spans="1:36" x14ac:dyDescent="0.25">
      <c r="A681" s="5" t="s">
        <v>842</v>
      </c>
      <c r="B681" s="5" t="s">
        <v>795</v>
      </c>
      <c r="C681" s="5" t="s">
        <v>795</v>
      </c>
      <c r="D681" s="5" t="s">
        <v>874</v>
      </c>
      <c r="E681" s="5">
        <v>51.244767000000003</v>
      </c>
      <c r="F681" s="5">
        <v>19.282146999999998</v>
      </c>
      <c r="G681" s="5">
        <v>1976</v>
      </c>
      <c r="I681" s="6">
        <v>29084</v>
      </c>
      <c r="J681" s="6">
        <v>29362</v>
      </c>
      <c r="L681" s="5">
        <v>5</v>
      </c>
      <c r="M681" s="5">
        <v>4.5999999999999996</v>
      </c>
      <c r="P681" s="7">
        <v>29554</v>
      </c>
      <c r="Q681" s="5">
        <v>1980</v>
      </c>
      <c r="T681" s="5" t="s">
        <v>797</v>
      </c>
      <c r="U681" s="5" t="s">
        <v>875</v>
      </c>
      <c r="V681" s="5">
        <v>0</v>
      </c>
      <c r="W681" s="5" t="s">
        <v>44</v>
      </c>
      <c r="X681" s="5" t="s">
        <v>876</v>
      </c>
      <c r="AJ681" s="5" t="s">
        <v>877</v>
      </c>
    </row>
    <row r="682" spans="1:36" x14ac:dyDescent="0.25">
      <c r="A682" s="5" t="s">
        <v>153</v>
      </c>
      <c r="B682" s="5" t="s">
        <v>795</v>
      </c>
      <c r="C682" s="5" t="s">
        <v>831</v>
      </c>
      <c r="D682" s="5" t="s">
        <v>873</v>
      </c>
      <c r="E682" s="5">
        <v>29.4</v>
      </c>
      <c r="F682" s="5">
        <v>104.78</v>
      </c>
      <c r="I682" s="5">
        <v>1947</v>
      </c>
      <c r="M682" s="5">
        <v>4.5999999999999996</v>
      </c>
      <c r="N682" s="5" t="s">
        <v>65</v>
      </c>
      <c r="P682" s="7">
        <v>31135</v>
      </c>
      <c r="Q682" s="5">
        <v>1985</v>
      </c>
      <c r="T682" s="5" t="s">
        <v>859</v>
      </c>
      <c r="W682" s="5" t="s">
        <v>44</v>
      </c>
      <c r="AJ682" s="5" t="s">
        <v>2671</v>
      </c>
    </row>
    <row r="683" spans="1:36" ht="15" customHeight="1" x14ac:dyDescent="0.25">
      <c r="A683" s="14" t="s">
        <v>164</v>
      </c>
      <c r="B683" s="5" t="s">
        <v>795</v>
      </c>
      <c r="C683" s="5" t="s">
        <v>795</v>
      </c>
      <c r="D683" s="14" t="s">
        <v>2345</v>
      </c>
      <c r="E683" s="14">
        <v>52.290666000000002</v>
      </c>
      <c r="F683" s="14">
        <v>7.7421930000000003</v>
      </c>
      <c r="M683" s="14">
        <v>4.5999999999999996</v>
      </c>
      <c r="N683" s="5" t="s">
        <v>65</v>
      </c>
      <c r="P683" s="13">
        <v>33374</v>
      </c>
      <c r="Q683" s="14">
        <v>1991</v>
      </c>
      <c r="R683" s="14"/>
      <c r="S683" s="14"/>
      <c r="T683" s="14" t="s">
        <v>797</v>
      </c>
      <c r="W683" s="5" t="s">
        <v>44</v>
      </c>
      <c r="AJ683" s="5" t="s">
        <v>206</v>
      </c>
    </row>
    <row r="684" spans="1:36" ht="15" customHeight="1" x14ac:dyDescent="0.25">
      <c r="A684" s="14" t="s">
        <v>149</v>
      </c>
      <c r="B684" s="5" t="s">
        <v>795</v>
      </c>
      <c r="C684" s="5" t="s">
        <v>795</v>
      </c>
      <c r="D684" s="14" t="s">
        <v>2452</v>
      </c>
      <c r="E684" s="14">
        <v>50.5</v>
      </c>
      <c r="F684" s="14">
        <v>34</v>
      </c>
      <c r="M684" s="14">
        <v>4.5999999999999996</v>
      </c>
      <c r="N684" s="5" t="s">
        <v>808</v>
      </c>
      <c r="P684" s="13">
        <v>42038</v>
      </c>
      <c r="Q684" s="14">
        <v>2015</v>
      </c>
      <c r="R684" s="14"/>
      <c r="S684" s="14"/>
      <c r="T684" s="14" t="s">
        <v>946</v>
      </c>
      <c r="W684" s="5" t="s">
        <v>44</v>
      </c>
      <c r="AJ684" s="5" t="s">
        <v>2453</v>
      </c>
    </row>
    <row r="685" spans="1:36" ht="15" customHeight="1" x14ac:dyDescent="0.25">
      <c r="A685" s="5" t="s">
        <v>51</v>
      </c>
      <c r="B685" s="5" t="s">
        <v>795</v>
      </c>
      <c r="C685" s="5" t="s">
        <v>795</v>
      </c>
      <c r="D685" s="5" t="s">
        <v>878</v>
      </c>
      <c r="E685" s="5">
        <v>36.955233</v>
      </c>
      <c r="F685" s="5">
        <v>-82.181912999999994</v>
      </c>
      <c r="M685" s="5">
        <v>4.5</v>
      </c>
      <c r="N685" s="5" t="s">
        <v>65</v>
      </c>
      <c r="P685" s="7">
        <v>26439</v>
      </c>
      <c r="Q685" s="5">
        <v>1972</v>
      </c>
      <c r="T685" s="5" t="s">
        <v>797</v>
      </c>
      <c r="W685" s="5" t="s">
        <v>44</v>
      </c>
      <c r="AJ685" s="5" t="s">
        <v>879</v>
      </c>
    </row>
    <row r="686" spans="1:36" x14ac:dyDescent="0.25">
      <c r="A686" s="5" t="s">
        <v>1231</v>
      </c>
      <c r="B686" s="5" t="s">
        <v>795</v>
      </c>
      <c r="C686" s="5" t="s">
        <v>825</v>
      </c>
      <c r="D686" s="5" t="s">
        <v>2144</v>
      </c>
      <c r="E686" s="5">
        <v>47.835959000000003</v>
      </c>
      <c r="F686" s="5">
        <v>67.388149999999996</v>
      </c>
      <c r="M686" s="5">
        <v>4.5</v>
      </c>
      <c r="N686" s="5" t="s">
        <v>1691</v>
      </c>
      <c r="P686" s="7">
        <v>34547</v>
      </c>
      <c r="Q686" s="5">
        <v>1994</v>
      </c>
      <c r="T686" s="5" t="s">
        <v>844</v>
      </c>
      <c r="W686" s="5" t="s">
        <v>44</v>
      </c>
      <c r="AJ686" s="5" t="s">
        <v>2145</v>
      </c>
    </row>
    <row r="687" spans="1:36" x14ac:dyDescent="0.25">
      <c r="A687" s="5" t="s">
        <v>149</v>
      </c>
      <c r="B687" s="5" t="s">
        <v>795</v>
      </c>
      <c r="C687" s="5" t="s">
        <v>836</v>
      </c>
      <c r="D687" s="5" t="s">
        <v>2146</v>
      </c>
      <c r="E687" s="5">
        <v>67.663743999999994</v>
      </c>
      <c r="F687" s="5">
        <v>33.735416999999998</v>
      </c>
      <c r="M687" s="5">
        <v>4.5</v>
      </c>
      <c r="N687" s="5" t="s">
        <v>81</v>
      </c>
      <c r="P687" s="7">
        <v>34998</v>
      </c>
      <c r="Q687" s="5">
        <v>1995</v>
      </c>
      <c r="W687" s="5" t="s">
        <v>44</v>
      </c>
      <c r="AJ687" s="5" t="s">
        <v>2091</v>
      </c>
    </row>
    <row r="688" spans="1:36" x14ac:dyDescent="0.25">
      <c r="A688" s="5" t="s">
        <v>717</v>
      </c>
      <c r="B688" s="5" t="s">
        <v>795</v>
      </c>
      <c r="C688" s="5" t="s">
        <v>825</v>
      </c>
      <c r="D688" s="5" t="s">
        <v>2247</v>
      </c>
      <c r="E688" s="5">
        <v>36.927771999999997</v>
      </c>
      <c r="F688" s="5">
        <v>129.36782600000001</v>
      </c>
      <c r="M688" s="5">
        <v>4.4000000000000004</v>
      </c>
      <c r="N688" s="5" t="s">
        <v>40</v>
      </c>
      <c r="P688" s="7">
        <v>42423</v>
      </c>
      <c r="Q688" s="5">
        <v>2016</v>
      </c>
      <c r="T688" s="5" t="s">
        <v>2158</v>
      </c>
      <c r="W688" s="5" t="s">
        <v>44</v>
      </c>
      <c r="AJ688" s="5" t="s">
        <v>2248</v>
      </c>
    </row>
    <row r="689" spans="1:36" x14ac:dyDescent="0.25">
      <c r="A689" s="14" t="s">
        <v>51</v>
      </c>
      <c r="B689" s="5" t="s">
        <v>795</v>
      </c>
      <c r="C689" s="5" t="s">
        <v>893</v>
      </c>
      <c r="D689" s="14" t="s">
        <v>894</v>
      </c>
      <c r="E689" s="14">
        <v>40.343986999999998</v>
      </c>
      <c r="F689" s="14">
        <v>-76.010523000000006</v>
      </c>
      <c r="G689" s="5">
        <v>1934</v>
      </c>
      <c r="H689" s="5" t="s">
        <v>895</v>
      </c>
      <c r="I689" s="5" t="s">
        <v>896</v>
      </c>
      <c r="J689" s="5">
        <v>1997</v>
      </c>
      <c r="L689" s="5" t="s">
        <v>897</v>
      </c>
      <c r="M689" s="14">
        <v>4.4000000000000004</v>
      </c>
      <c r="N689" s="5" t="s">
        <v>65</v>
      </c>
      <c r="O689" s="5">
        <v>2000</v>
      </c>
      <c r="P689" s="7">
        <v>34350</v>
      </c>
      <c r="Q689" s="5">
        <v>1994</v>
      </c>
      <c r="R689" s="14"/>
      <c r="S689" s="14" t="s">
        <v>898</v>
      </c>
      <c r="T689" s="14" t="s">
        <v>116</v>
      </c>
      <c r="U689" s="5" t="s">
        <v>899</v>
      </c>
      <c r="V689" s="5" t="s">
        <v>781</v>
      </c>
      <c r="W689" s="5" t="s">
        <v>44</v>
      </c>
      <c r="AC689" s="5">
        <v>4000000</v>
      </c>
      <c r="AD689" s="5" t="s">
        <v>92</v>
      </c>
      <c r="AG689" s="5">
        <v>0.13</v>
      </c>
      <c r="AJ689" s="5" t="s">
        <v>900</v>
      </c>
    </row>
    <row r="690" spans="1:36" ht="13.5" customHeight="1" x14ac:dyDescent="0.25">
      <c r="A690" s="14" t="s">
        <v>149</v>
      </c>
      <c r="B690" s="5" t="s">
        <v>795</v>
      </c>
      <c r="C690" s="5" t="s">
        <v>836</v>
      </c>
      <c r="D690" s="14" t="s">
        <v>880</v>
      </c>
      <c r="E690" s="14">
        <v>59.324714</v>
      </c>
      <c r="F690" s="14">
        <v>56.934451000000003</v>
      </c>
      <c r="M690" s="14">
        <v>4.4000000000000004</v>
      </c>
      <c r="P690" s="13">
        <v>34704</v>
      </c>
      <c r="Q690" s="14">
        <v>1995</v>
      </c>
      <c r="R690" s="14"/>
      <c r="S690" s="14"/>
      <c r="T690" s="14" t="s">
        <v>802</v>
      </c>
      <c r="W690" s="5" t="s">
        <v>44</v>
      </c>
      <c r="AJ690" s="5" t="s">
        <v>881</v>
      </c>
    </row>
    <row r="691" spans="1:36" x14ac:dyDescent="0.25">
      <c r="A691" s="5" t="s">
        <v>550</v>
      </c>
      <c r="B691" s="5" t="s">
        <v>795</v>
      </c>
      <c r="C691" s="5" t="s">
        <v>795</v>
      </c>
      <c r="D691" s="5" t="s">
        <v>882</v>
      </c>
      <c r="E691" s="5">
        <v>-34.220927000000003</v>
      </c>
      <c r="F691" s="5">
        <v>150.81736000000001</v>
      </c>
      <c r="G691" s="5">
        <v>1962</v>
      </c>
      <c r="M691" s="5">
        <v>4.4000000000000004</v>
      </c>
      <c r="P691" s="7">
        <v>36236</v>
      </c>
      <c r="Q691" s="5">
        <v>1999</v>
      </c>
      <c r="T691" s="5" t="s">
        <v>797</v>
      </c>
      <c r="U691" s="5" t="s">
        <v>883</v>
      </c>
      <c r="V691" s="5">
        <v>500</v>
      </c>
      <c r="W691" s="5" t="s">
        <v>44</v>
      </c>
      <c r="AJ691" s="5" t="s">
        <v>884</v>
      </c>
    </row>
    <row r="692" spans="1:36" x14ac:dyDescent="0.25">
      <c r="A692" s="5" t="s">
        <v>887</v>
      </c>
      <c r="B692" s="5" t="s">
        <v>795</v>
      </c>
      <c r="C692" s="5" t="s">
        <v>795</v>
      </c>
      <c r="D692" s="5" t="s">
        <v>888</v>
      </c>
      <c r="E692" s="5">
        <v>52.861365999999997</v>
      </c>
      <c r="F692" s="5">
        <v>27.559462</v>
      </c>
      <c r="G692" s="5" t="s">
        <v>889</v>
      </c>
      <c r="I692" s="5">
        <v>1978</v>
      </c>
      <c r="L692" s="5" t="s">
        <v>890</v>
      </c>
      <c r="M692" s="5">
        <v>4.4000000000000004</v>
      </c>
      <c r="P692" s="7">
        <v>37973</v>
      </c>
      <c r="Q692" s="5">
        <v>2003</v>
      </c>
      <c r="T692" s="5" t="s">
        <v>802</v>
      </c>
      <c r="V692" s="5" t="s">
        <v>891</v>
      </c>
      <c r="W692" s="5" t="s">
        <v>44</v>
      </c>
      <c r="AJ692" s="5" t="s">
        <v>892</v>
      </c>
    </row>
    <row r="693" spans="1:36" x14ac:dyDescent="0.25">
      <c r="A693" s="14" t="s">
        <v>806</v>
      </c>
      <c r="B693" s="5" t="s">
        <v>795</v>
      </c>
      <c r="C693" s="5" t="s">
        <v>795</v>
      </c>
      <c r="D693" s="14" t="s">
        <v>885</v>
      </c>
      <c r="E693" s="14">
        <v>-26.423742000000001</v>
      </c>
      <c r="F693" s="14">
        <v>27.408733999999999</v>
      </c>
      <c r="L693" s="5" t="s">
        <v>2346</v>
      </c>
      <c r="M693" s="14">
        <v>4.4000000000000004</v>
      </c>
      <c r="N693" s="5" t="s">
        <v>65</v>
      </c>
      <c r="P693" s="5">
        <v>2007</v>
      </c>
      <c r="Q693" s="5">
        <v>2007</v>
      </c>
      <c r="R693" s="14"/>
      <c r="S693" s="14"/>
      <c r="T693" s="14" t="s">
        <v>809</v>
      </c>
      <c r="W693" s="5" t="s">
        <v>44</v>
      </c>
      <c r="AI693" s="5" t="s">
        <v>886</v>
      </c>
      <c r="AJ693" s="5" t="s">
        <v>2347</v>
      </c>
    </row>
    <row r="694" spans="1:36" x14ac:dyDescent="0.25">
      <c r="A694" s="5" t="s">
        <v>149</v>
      </c>
      <c r="B694" s="5" t="s">
        <v>795</v>
      </c>
      <c r="C694" s="5" t="s">
        <v>795</v>
      </c>
      <c r="D694" s="5" t="s">
        <v>2147</v>
      </c>
      <c r="E694" s="5">
        <v>58.910995999999997</v>
      </c>
      <c r="F694" s="5">
        <v>59.184058999999998</v>
      </c>
      <c r="M694" s="5">
        <v>4.4000000000000004</v>
      </c>
      <c r="N694" s="5" t="s">
        <v>65</v>
      </c>
      <c r="O694" s="5">
        <v>21000</v>
      </c>
      <c r="P694" s="7">
        <v>40267</v>
      </c>
      <c r="Q694" s="5">
        <v>2010</v>
      </c>
      <c r="W694" s="5" t="s">
        <v>44</v>
      </c>
      <c r="AJ694" s="5" t="s">
        <v>2091</v>
      </c>
    </row>
    <row r="695" spans="1:36" ht="15" customHeight="1" x14ac:dyDescent="0.25">
      <c r="A695" s="5" t="s">
        <v>153</v>
      </c>
      <c r="B695" s="5" t="s">
        <v>795</v>
      </c>
      <c r="C695" s="5" t="s">
        <v>795</v>
      </c>
      <c r="D695" s="5" t="s">
        <v>901</v>
      </c>
      <c r="E695" s="5">
        <v>41.798349000000002</v>
      </c>
      <c r="F695" s="5">
        <v>120.724245</v>
      </c>
      <c r="I695" s="5" t="s">
        <v>902</v>
      </c>
      <c r="M695" s="5">
        <v>4.3</v>
      </c>
      <c r="N695" s="5" t="s">
        <v>65</v>
      </c>
      <c r="O695" s="5">
        <v>550</v>
      </c>
      <c r="P695" s="7">
        <v>28243</v>
      </c>
      <c r="Q695" s="5">
        <v>1977</v>
      </c>
      <c r="T695" s="5" t="s">
        <v>797</v>
      </c>
      <c r="W695" s="5" t="s">
        <v>44</v>
      </c>
      <c r="AJ695" s="5" t="s">
        <v>2672</v>
      </c>
    </row>
    <row r="696" spans="1:36" x14ac:dyDescent="0.25">
      <c r="A696" s="5" t="s">
        <v>153</v>
      </c>
      <c r="B696" s="5" t="s">
        <v>795</v>
      </c>
      <c r="C696" s="5" t="s">
        <v>795</v>
      </c>
      <c r="D696" s="5" t="s">
        <v>904</v>
      </c>
      <c r="I696" s="5" t="s">
        <v>905</v>
      </c>
      <c r="M696" s="5">
        <v>4.3</v>
      </c>
      <c r="N696" s="5" t="s">
        <v>65</v>
      </c>
      <c r="P696" s="7">
        <v>31960</v>
      </c>
      <c r="Q696" s="5">
        <v>1987</v>
      </c>
      <c r="T696" s="5" t="s">
        <v>797</v>
      </c>
      <c r="W696" s="5" t="s">
        <v>44</v>
      </c>
      <c r="AJ696" s="5" t="s">
        <v>2672</v>
      </c>
    </row>
    <row r="697" spans="1:36" ht="15" customHeight="1" x14ac:dyDescent="0.25">
      <c r="A697" s="5" t="s">
        <v>149</v>
      </c>
      <c r="B697" s="5" t="s">
        <v>795</v>
      </c>
      <c r="C697" s="5" t="s">
        <v>836</v>
      </c>
      <c r="D697" s="5" t="s">
        <v>907</v>
      </c>
      <c r="E697" s="5">
        <v>54.448405000000001</v>
      </c>
      <c r="F697" s="5">
        <v>61.264223999999999</v>
      </c>
      <c r="M697" s="5">
        <v>4.3</v>
      </c>
      <c r="N697" s="5" t="s">
        <v>65</v>
      </c>
      <c r="P697" s="7">
        <v>33021</v>
      </c>
      <c r="Q697" s="5">
        <v>1990</v>
      </c>
      <c r="T697" s="5" t="s">
        <v>908</v>
      </c>
      <c r="W697" s="5" t="s">
        <v>44</v>
      </c>
      <c r="AJ697" s="5" t="s">
        <v>839</v>
      </c>
    </row>
    <row r="698" spans="1:36" x14ac:dyDescent="0.25">
      <c r="A698" s="5" t="s">
        <v>153</v>
      </c>
      <c r="B698" s="5" t="s">
        <v>795</v>
      </c>
      <c r="C698" s="5" t="s">
        <v>795</v>
      </c>
      <c r="D698" s="5" t="s">
        <v>906</v>
      </c>
      <c r="I698" s="5">
        <v>1989</v>
      </c>
      <c r="M698" s="5">
        <v>4.3</v>
      </c>
      <c r="N698" s="5" t="s">
        <v>65</v>
      </c>
      <c r="P698" s="7">
        <v>34439</v>
      </c>
      <c r="Q698" s="5">
        <v>1994</v>
      </c>
      <c r="W698" s="5" t="s">
        <v>44</v>
      </c>
      <c r="AI698" s="5" t="s">
        <v>2673</v>
      </c>
      <c r="AJ698" s="5" t="s">
        <v>2672</v>
      </c>
    </row>
    <row r="699" spans="1:36" x14ac:dyDescent="0.25">
      <c r="A699" s="5" t="s">
        <v>149</v>
      </c>
      <c r="B699" s="5" t="s">
        <v>795</v>
      </c>
      <c r="C699" s="5" t="s">
        <v>795</v>
      </c>
      <c r="D699" s="5" t="s">
        <v>2419</v>
      </c>
      <c r="E699" s="5">
        <v>54.69</v>
      </c>
      <c r="F699" s="5">
        <v>83.64</v>
      </c>
      <c r="I699" s="5">
        <v>2011</v>
      </c>
      <c r="M699" s="5">
        <v>4.3</v>
      </c>
      <c r="N699" s="5" t="s">
        <v>65</v>
      </c>
      <c r="O699" s="5">
        <v>4000</v>
      </c>
      <c r="P699" s="7">
        <v>43474</v>
      </c>
      <c r="Q699" s="5">
        <v>2019</v>
      </c>
      <c r="T699" s="5" t="s">
        <v>797</v>
      </c>
      <c r="W699" s="5" t="s">
        <v>44</v>
      </c>
      <c r="AI699" s="5" t="s">
        <v>2420</v>
      </c>
      <c r="AJ699" s="5" t="s">
        <v>2421</v>
      </c>
    </row>
    <row r="700" spans="1:36" x14ac:dyDescent="0.25">
      <c r="A700" s="5" t="s">
        <v>717</v>
      </c>
      <c r="B700" s="5" t="s">
        <v>795</v>
      </c>
      <c r="C700" s="5" t="s">
        <v>825</v>
      </c>
      <c r="D700" s="5" t="s">
        <v>2249</v>
      </c>
      <c r="E700" s="5">
        <v>37.275148000000002</v>
      </c>
      <c r="F700" s="5">
        <v>129.09566100000001</v>
      </c>
      <c r="M700" s="5">
        <v>4.2</v>
      </c>
      <c r="N700" s="5" t="s">
        <v>40</v>
      </c>
      <c r="P700" s="7">
        <v>42035</v>
      </c>
      <c r="Q700" s="5">
        <v>2015</v>
      </c>
      <c r="T700" s="5" t="s">
        <v>2158</v>
      </c>
      <c r="W700" s="5" t="s">
        <v>44</v>
      </c>
      <c r="AJ700" s="5" t="s">
        <v>2248</v>
      </c>
    </row>
    <row r="701" spans="1:36" x14ac:dyDescent="0.25">
      <c r="A701" s="5" t="s">
        <v>153</v>
      </c>
      <c r="B701" s="5" t="s">
        <v>795</v>
      </c>
      <c r="C701" s="5" t="s">
        <v>795</v>
      </c>
      <c r="D701" s="5" t="s">
        <v>911</v>
      </c>
      <c r="I701" s="5" t="s">
        <v>912</v>
      </c>
      <c r="M701" s="5">
        <v>4.2</v>
      </c>
      <c r="N701" s="5" t="s">
        <v>65</v>
      </c>
      <c r="P701" s="7">
        <v>29082</v>
      </c>
      <c r="Q701" s="5">
        <v>1979</v>
      </c>
      <c r="T701" s="5" t="s">
        <v>859</v>
      </c>
      <c r="W701" s="5" t="s">
        <v>73</v>
      </c>
      <c r="AJ701" s="5" t="s">
        <v>2672</v>
      </c>
    </row>
    <row r="702" spans="1:36" ht="15" customHeight="1" x14ac:dyDescent="0.25">
      <c r="A702" s="5" t="s">
        <v>153</v>
      </c>
      <c r="B702" s="5" t="s">
        <v>795</v>
      </c>
      <c r="C702" s="5" t="s">
        <v>795</v>
      </c>
      <c r="D702" s="5" t="s">
        <v>913</v>
      </c>
      <c r="E702" s="5">
        <v>39.933</v>
      </c>
      <c r="F702" s="5">
        <v>116.062</v>
      </c>
      <c r="I702" s="5" t="s">
        <v>914</v>
      </c>
      <c r="M702" s="5">
        <v>4.2</v>
      </c>
      <c r="N702" s="5" t="s">
        <v>65</v>
      </c>
      <c r="O702" s="5">
        <v>200</v>
      </c>
      <c r="P702" s="7">
        <v>34473</v>
      </c>
      <c r="Q702" s="5">
        <v>1994</v>
      </c>
      <c r="T702" s="5" t="s">
        <v>797</v>
      </c>
      <c r="W702" s="5" t="s">
        <v>44</v>
      </c>
      <c r="AJ702" s="5" t="s">
        <v>2672</v>
      </c>
    </row>
    <row r="703" spans="1:36" x14ac:dyDescent="0.25">
      <c r="A703" s="14" t="s">
        <v>51</v>
      </c>
      <c r="B703" s="5" t="s">
        <v>795</v>
      </c>
      <c r="C703" s="5" t="s">
        <v>795</v>
      </c>
      <c r="D703" s="14" t="s">
        <v>909</v>
      </c>
      <c r="E703" s="14">
        <v>39.749163000000003</v>
      </c>
      <c r="F703" s="14">
        <v>-110.8365</v>
      </c>
      <c r="J703" s="6"/>
      <c r="M703" s="14">
        <v>4.2</v>
      </c>
      <c r="N703" s="5" t="s">
        <v>65</v>
      </c>
      <c r="O703" s="5">
        <v>1800</v>
      </c>
      <c r="P703" s="13">
        <v>36592</v>
      </c>
      <c r="Q703" s="14">
        <v>2000</v>
      </c>
      <c r="R703" s="14"/>
      <c r="S703" s="14"/>
      <c r="T703" s="14" t="s">
        <v>797</v>
      </c>
      <c r="W703" s="5" t="s">
        <v>44</v>
      </c>
      <c r="AJ703" s="5" t="s">
        <v>910</v>
      </c>
    </row>
    <row r="704" spans="1:36" x14ac:dyDescent="0.25">
      <c r="A704" s="5" t="s">
        <v>842</v>
      </c>
      <c r="B704" s="5" t="s">
        <v>795</v>
      </c>
      <c r="C704" s="5" t="s">
        <v>795</v>
      </c>
      <c r="D704" s="5" t="s">
        <v>915</v>
      </c>
      <c r="E704" s="5">
        <v>51.500833999999998</v>
      </c>
      <c r="F704" s="5">
        <v>16.108180999999998</v>
      </c>
      <c r="G704" s="5">
        <v>1969</v>
      </c>
      <c r="I704" s="6"/>
      <c r="L704" s="5" t="s">
        <v>916</v>
      </c>
      <c r="M704" s="5">
        <v>4.2</v>
      </c>
      <c r="N704" s="5" t="s">
        <v>40</v>
      </c>
      <c r="O704" s="5">
        <v>1000</v>
      </c>
      <c r="P704" s="7">
        <v>41352</v>
      </c>
      <c r="Q704" s="5">
        <v>2013</v>
      </c>
      <c r="T704" s="5" t="s">
        <v>844</v>
      </c>
      <c r="U704" s="5" t="s">
        <v>917</v>
      </c>
      <c r="V704" s="5" t="s">
        <v>917</v>
      </c>
      <c r="W704" s="5" t="s">
        <v>44</v>
      </c>
      <c r="AI704" s="5" t="s">
        <v>918</v>
      </c>
      <c r="AJ704" s="5" t="s">
        <v>919</v>
      </c>
    </row>
    <row r="705" spans="1:36" x14ac:dyDescent="0.25">
      <c r="A705" s="5" t="s">
        <v>729</v>
      </c>
      <c r="B705" s="5" t="s">
        <v>795</v>
      </c>
      <c r="C705" s="5" t="s">
        <v>795</v>
      </c>
      <c r="D705" s="5" t="s">
        <v>2542</v>
      </c>
      <c r="E705" s="5">
        <v>67.836315999999997</v>
      </c>
      <c r="F705" s="5">
        <v>20.173368</v>
      </c>
      <c r="G705" s="5">
        <v>1898</v>
      </c>
      <c r="I705" s="5">
        <v>2007</v>
      </c>
      <c r="J705" s="6"/>
      <c r="M705" s="5">
        <v>4.2</v>
      </c>
      <c r="N705" s="5" t="s">
        <v>40</v>
      </c>
      <c r="P705" s="7" t="s">
        <v>2543</v>
      </c>
      <c r="Q705" s="5">
        <v>2020</v>
      </c>
      <c r="T705" s="5" t="s">
        <v>1009</v>
      </c>
      <c r="V705" s="5" t="s">
        <v>2544</v>
      </c>
      <c r="W705" s="5" t="s">
        <v>44</v>
      </c>
      <c r="AC705" s="5" t="s">
        <v>2545</v>
      </c>
      <c r="AD705" s="5" t="s">
        <v>67</v>
      </c>
      <c r="AJ705" s="5" t="s">
        <v>2546</v>
      </c>
    </row>
    <row r="706" spans="1:36" x14ac:dyDescent="0.25">
      <c r="A706" s="5" t="s">
        <v>172</v>
      </c>
      <c r="B706" s="5" t="s">
        <v>795</v>
      </c>
      <c r="C706" s="5" t="s">
        <v>825</v>
      </c>
      <c r="D706" s="5" t="s">
        <v>2348</v>
      </c>
      <c r="E706" s="5">
        <v>43.344439999999999</v>
      </c>
      <c r="F706" s="5">
        <v>-4.0855600000000001</v>
      </c>
      <c r="I706" s="6"/>
      <c r="M706" s="5">
        <v>4.0999999999999996</v>
      </c>
      <c r="N706" s="5" t="s">
        <v>230</v>
      </c>
      <c r="P706" s="7">
        <v>23749</v>
      </c>
      <c r="Q706" s="5">
        <v>1965</v>
      </c>
      <c r="T706" s="5" t="s">
        <v>1144</v>
      </c>
      <c r="W706" s="5" t="s">
        <v>44</v>
      </c>
      <c r="AJ706" s="5" t="s">
        <v>2349</v>
      </c>
    </row>
    <row r="707" spans="1:36" x14ac:dyDescent="0.25">
      <c r="A707" s="5" t="s">
        <v>1754</v>
      </c>
      <c r="B707" s="5" t="s">
        <v>795</v>
      </c>
      <c r="C707" s="5" t="s">
        <v>795</v>
      </c>
      <c r="D707" s="5" t="s">
        <v>2250</v>
      </c>
      <c r="E707" s="5">
        <v>34.448410000000003</v>
      </c>
      <c r="F707" s="5">
        <v>60.391776999999998</v>
      </c>
      <c r="I707" s="6"/>
      <c r="L707" s="5" t="s">
        <v>2251</v>
      </c>
      <c r="M707" s="5">
        <v>4.0999999999999996</v>
      </c>
      <c r="N707" s="5" t="s">
        <v>65</v>
      </c>
      <c r="T707" s="5" t="s">
        <v>946</v>
      </c>
      <c r="W707" s="5" t="s">
        <v>73</v>
      </c>
      <c r="AJ707" s="5" t="s">
        <v>2252</v>
      </c>
    </row>
    <row r="708" spans="1:36" x14ac:dyDescent="0.25">
      <c r="A708" s="14" t="s">
        <v>164</v>
      </c>
      <c r="B708" s="5" t="s">
        <v>795</v>
      </c>
      <c r="C708" s="5" t="s">
        <v>795</v>
      </c>
      <c r="D708" s="14" t="s">
        <v>925</v>
      </c>
      <c r="E708" s="14">
        <v>51.55</v>
      </c>
      <c r="F708" s="14">
        <v>7.3</v>
      </c>
      <c r="M708" s="14">
        <v>4.0999999999999996</v>
      </c>
      <c r="N708" s="5" t="s">
        <v>40</v>
      </c>
      <c r="O708" s="5">
        <v>1000</v>
      </c>
      <c r="P708" s="13">
        <v>13457</v>
      </c>
      <c r="Q708" s="14">
        <v>1936</v>
      </c>
      <c r="R708" s="14"/>
      <c r="S708" s="14"/>
      <c r="T708" s="14" t="s">
        <v>797</v>
      </c>
      <c r="W708" s="5" t="s">
        <v>44</v>
      </c>
      <c r="AJ708" s="5" t="s">
        <v>926</v>
      </c>
    </row>
    <row r="709" spans="1:36" x14ac:dyDescent="0.25">
      <c r="A709" s="5" t="s">
        <v>153</v>
      </c>
      <c r="B709" s="5" t="s">
        <v>795</v>
      </c>
      <c r="C709" s="5" t="s">
        <v>795</v>
      </c>
      <c r="D709" s="5" t="s">
        <v>927</v>
      </c>
      <c r="E709" s="5">
        <v>26.212751999999998</v>
      </c>
      <c r="F709" s="5">
        <v>105.64115200000001</v>
      </c>
      <c r="I709" s="5">
        <v>1977</v>
      </c>
      <c r="M709" s="5">
        <v>4.0999999999999996</v>
      </c>
      <c r="N709" s="5" t="s">
        <v>65</v>
      </c>
      <c r="P709" s="7">
        <v>30030</v>
      </c>
      <c r="Q709" s="5">
        <v>1982</v>
      </c>
      <c r="T709" s="5" t="s">
        <v>797</v>
      </c>
      <c r="W709" s="5" t="s">
        <v>44</v>
      </c>
      <c r="AJ709" s="5" t="s">
        <v>2672</v>
      </c>
    </row>
    <row r="710" spans="1:36" x14ac:dyDescent="0.25">
      <c r="A710" s="14" t="s">
        <v>149</v>
      </c>
      <c r="B710" s="5" t="s">
        <v>795</v>
      </c>
      <c r="C710" s="5" t="s">
        <v>836</v>
      </c>
      <c r="D710" s="14" t="s">
        <v>920</v>
      </c>
      <c r="E710" s="14">
        <v>67.633872999999994</v>
      </c>
      <c r="F710" s="14">
        <v>33.876708999999998</v>
      </c>
      <c r="G710" s="5">
        <v>1929</v>
      </c>
      <c r="M710" s="5">
        <v>4.0999999999999996</v>
      </c>
      <c r="N710" s="5" t="s">
        <v>65</v>
      </c>
      <c r="O710" s="5">
        <v>220</v>
      </c>
      <c r="P710" s="13">
        <v>32614</v>
      </c>
      <c r="Q710" s="14">
        <v>1989</v>
      </c>
      <c r="R710" s="14"/>
      <c r="S710" s="14"/>
      <c r="T710" s="14" t="s">
        <v>921</v>
      </c>
      <c r="V710" s="5">
        <v>220</v>
      </c>
      <c r="W710" s="5" t="s">
        <v>44</v>
      </c>
      <c r="AA710" s="5">
        <v>3171</v>
      </c>
      <c r="AB710" s="5" t="s">
        <v>58</v>
      </c>
      <c r="AC710" s="5" t="s">
        <v>922</v>
      </c>
      <c r="AD710" s="5" t="s">
        <v>67</v>
      </c>
      <c r="AI710" s="5" t="s">
        <v>923</v>
      </c>
      <c r="AJ710" s="5" t="s">
        <v>924</v>
      </c>
    </row>
    <row r="711" spans="1:36" x14ac:dyDescent="0.25">
      <c r="A711" s="5" t="s">
        <v>149</v>
      </c>
      <c r="B711" s="5" t="s">
        <v>795</v>
      </c>
      <c r="C711" s="5" t="s">
        <v>836</v>
      </c>
      <c r="D711" s="5" t="s">
        <v>928</v>
      </c>
      <c r="E711" s="5">
        <v>56.365133</v>
      </c>
      <c r="F711" s="5">
        <v>61.961308000000002</v>
      </c>
      <c r="M711" s="5">
        <v>4.0999999999999996</v>
      </c>
      <c r="N711" s="5" t="s">
        <v>65</v>
      </c>
      <c r="P711" s="7">
        <v>34544</v>
      </c>
      <c r="Q711" s="5">
        <v>1994</v>
      </c>
      <c r="T711" s="5" t="s">
        <v>908</v>
      </c>
      <c r="W711" s="5" t="s">
        <v>44</v>
      </c>
      <c r="AJ711" s="5" t="s">
        <v>839</v>
      </c>
    </row>
    <row r="712" spans="1:36" x14ac:dyDescent="0.25">
      <c r="A712" s="14" t="s">
        <v>123</v>
      </c>
      <c r="B712" s="5" t="s">
        <v>795</v>
      </c>
      <c r="C712" s="5" t="s">
        <v>795</v>
      </c>
      <c r="D712" s="14" t="s">
        <v>929</v>
      </c>
      <c r="E712" s="14">
        <v>46.473320999999999</v>
      </c>
      <c r="F712" s="14">
        <v>-81.186642000000006</v>
      </c>
      <c r="I712" s="5" t="s">
        <v>930</v>
      </c>
      <c r="J712" s="5" t="s">
        <v>931</v>
      </c>
      <c r="L712" s="5" t="s">
        <v>932</v>
      </c>
      <c r="M712" s="14">
        <v>4.0999999999999996</v>
      </c>
      <c r="N712" s="5" t="s">
        <v>933</v>
      </c>
      <c r="P712" s="13">
        <v>39050</v>
      </c>
      <c r="Q712" s="14">
        <v>2006</v>
      </c>
      <c r="R712" s="14"/>
      <c r="S712" s="14"/>
      <c r="V712" s="5" t="s">
        <v>934</v>
      </c>
      <c r="W712" s="5" t="s">
        <v>44</v>
      </c>
      <c r="AJ712" s="14" t="s">
        <v>935</v>
      </c>
    </row>
    <row r="713" spans="1:36" x14ac:dyDescent="0.25">
      <c r="A713" s="14" t="s">
        <v>153</v>
      </c>
      <c r="B713" s="5" t="s">
        <v>795</v>
      </c>
      <c r="C713" s="5" t="s">
        <v>825</v>
      </c>
      <c r="D713" s="14" t="s">
        <v>2253</v>
      </c>
      <c r="E713" s="14">
        <v>35.502505999999997</v>
      </c>
      <c r="F713" s="14">
        <v>117.63584400000001</v>
      </c>
      <c r="M713" s="14">
        <v>4</v>
      </c>
      <c r="P713" s="13">
        <v>42363</v>
      </c>
      <c r="Q713" s="14">
        <v>2015</v>
      </c>
      <c r="R713" s="14"/>
      <c r="S713" s="14"/>
      <c r="T713" s="5" t="s">
        <v>1005</v>
      </c>
      <c r="W713" s="5" t="s">
        <v>44</v>
      </c>
      <c r="AJ713" s="14" t="s">
        <v>2674</v>
      </c>
    </row>
    <row r="714" spans="1:36" ht="15" customHeight="1" x14ac:dyDescent="0.25">
      <c r="A714" s="5" t="s">
        <v>189</v>
      </c>
      <c r="B714" s="5" t="s">
        <v>795</v>
      </c>
      <c r="C714" s="5" t="s">
        <v>795</v>
      </c>
      <c r="D714" s="5" t="s">
        <v>945</v>
      </c>
      <c r="E714" s="5">
        <v>49.36</v>
      </c>
      <c r="F714" s="5">
        <v>6.04</v>
      </c>
      <c r="M714" s="5">
        <v>4</v>
      </c>
      <c r="N714" s="5" t="s">
        <v>40</v>
      </c>
      <c r="P714" s="7">
        <v>26774</v>
      </c>
      <c r="Q714" s="5">
        <v>1973</v>
      </c>
      <c r="T714" s="5" t="s">
        <v>946</v>
      </c>
      <c r="W714" s="5" t="s">
        <v>44</v>
      </c>
      <c r="AJ714" s="5" t="s">
        <v>926</v>
      </c>
    </row>
    <row r="715" spans="1:36" ht="15" customHeight="1" x14ac:dyDescent="0.25">
      <c r="A715" s="5" t="s">
        <v>51</v>
      </c>
      <c r="B715" s="5" t="s">
        <v>795</v>
      </c>
      <c r="C715" s="5" t="s">
        <v>795</v>
      </c>
      <c r="D715" s="5" t="s">
        <v>947</v>
      </c>
      <c r="E715" s="5">
        <v>37.197944999999997</v>
      </c>
      <c r="F715" s="5">
        <v>-82.008443999999997</v>
      </c>
      <c r="M715" s="5">
        <v>4</v>
      </c>
      <c r="N715" s="5" t="s">
        <v>65</v>
      </c>
      <c r="P715" s="7">
        <v>32247</v>
      </c>
      <c r="Q715" s="5">
        <v>1988</v>
      </c>
      <c r="T715" s="5" t="s">
        <v>797</v>
      </c>
      <c r="W715" s="5" t="s">
        <v>44</v>
      </c>
      <c r="AJ715" s="5" t="s">
        <v>879</v>
      </c>
    </row>
    <row r="716" spans="1:36" x14ac:dyDescent="0.25">
      <c r="A716" s="14" t="s">
        <v>51</v>
      </c>
      <c r="B716" s="5" t="s">
        <v>795</v>
      </c>
      <c r="C716" s="5" t="s">
        <v>795</v>
      </c>
      <c r="D716" s="14" t="s">
        <v>940</v>
      </c>
      <c r="E716" s="14">
        <v>36.966132999999999</v>
      </c>
      <c r="F716" s="14">
        <v>-82.917906000000002</v>
      </c>
      <c r="M716" s="14">
        <v>4</v>
      </c>
      <c r="P716" s="13">
        <v>34769</v>
      </c>
      <c r="Q716" s="14">
        <v>1995</v>
      </c>
      <c r="R716" s="14"/>
      <c r="S716" s="14"/>
      <c r="T716" s="14" t="s">
        <v>797</v>
      </c>
      <c r="W716" s="5" t="s">
        <v>44</v>
      </c>
      <c r="AJ716" s="5" t="s">
        <v>941</v>
      </c>
    </row>
    <row r="717" spans="1:36" x14ac:dyDescent="0.25">
      <c r="A717" s="14" t="s">
        <v>806</v>
      </c>
      <c r="B717" s="5" t="s">
        <v>795</v>
      </c>
      <c r="C717" s="5" t="s">
        <v>795</v>
      </c>
      <c r="D717" s="14" t="s">
        <v>936</v>
      </c>
      <c r="E717" s="14">
        <v>-26.412205</v>
      </c>
      <c r="F717" s="14">
        <v>27.412374</v>
      </c>
      <c r="L717" s="5" t="s">
        <v>2350</v>
      </c>
      <c r="M717" s="14">
        <v>4</v>
      </c>
      <c r="N717" s="5" t="s">
        <v>65</v>
      </c>
      <c r="O717" s="5" t="s">
        <v>937</v>
      </c>
      <c r="P717" s="13">
        <v>35190</v>
      </c>
      <c r="Q717" s="14">
        <v>1996</v>
      </c>
      <c r="R717" s="14"/>
      <c r="S717" s="14"/>
      <c r="T717" s="5" t="s">
        <v>809</v>
      </c>
      <c r="V717" s="5" t="s">
        <v>938</v>
      </c>
      <c r="W717" s="5" t="s">
        <v>44</v>
      </c>
      <c r="AJ717" s="5" t="s">
        <v>939</v>
      </c>
    </row>
    <row r="718" spans="1:36" x14ac:dyDescent="0.25">
      <c r="A718" s="14" t="s">
        <v>164</v>
      </c>
      <c r="B718" s="5" t="s">
        <v>795</v>
      </c>
      <c r="C718" s="5" t="s">
        <v>795</v>
      </c>
      <c r="D718" s="14" t="s">
        <v>942</v>
      </c>
      <c r="E718" s="14">
        <v>49.365845999999998</v>
      </c>
      <c r="F718" s="14">
        <v>6.8429630000000001</v>
      </c>
      <c r="G718" s="5" t="s">
        <v>943</v>
      </c>
      <c r="M718" s="14">
        <v>4</v>
      </c>
      <c r="N718" s="5" t="s">
        <v>65</v>
      </c>
      <c r="O718" s="5">
        <v>1100</v>
      </c>
      <c r="P718" s="13">
        <v>39501</v>
      </c>
      <c r="Q718" s="14">
        <v>2008</v>
      </c>
      <c r="R718" s="14">
        <v>174</v>
      </c>
      <c r="S718" s="14"/>
      <c r="T718" s="14" t="s">
        <v>797</v>
      </c>
      <c r="W718" s="5" t="s">
        <v>44</v>
      </c>
      <c r="AC718" s="5">
        <v>10000000000</v>
      </c>
      <c r="AD718" s="5" t="s">
        <v>67</v>
      </c>
      <c r="AJ718" s="5" t="s">
        <v>944</v>
      </c>
    </row>
    <row r="719" spans="1:36" x14ac:dyDescent="0.25">
      <c r="A719" s="5" t="s">
        <v>806</v>
      </c>
      <c r="B719" s="5" t="s">
        <v>795</v>
      </c>
      <c r="C719" s="5" t="s">
        <v>795</v>
      </c>
      <c r="D719" s="5" t="s">
        <v>948</v>
      </c>
      <c r="E719" s="5">
        <v>-26.417522000000002</v>
      </c>
      <c r="F719" s="5">
        <v>27.661534</v>
      </c>
      <c r="I719" s="5">
        <v>1983</v>
      </c>
      <c r="J719" s="5">
        <v>1996</v>
      </c>
      <c r="L719" s="5">
        <v>32400</v>
      </c>
      <c r="M719" s="5">
        <v>4</v>
      </c>
      <c r="N719" s="5" t="s">
        <v>65</v>
      </c>
      <c r="T719" s="5" t="s">
        <v>809</v>
      </c>
      <c r="W719" s="5" t="s">
        <v>44</v>
      </c>
      <c r="AJ719" s="5" t="s">
        <v>949</v>
      </c>
    </row>
    <row r="720" spans="1:36" x14ac:dyDescent="0.25">
      <c r="A720" s="5" t="s">
        <v>123</v>
      </c>
      <c r="B720" s="5" t="s">
        <v>795</v>
      </c>
      <c r="C720" s="5" t="s">
        <v>795</v>
      </c>
      <c r="D720" s="5" t="s">
        <v>950</v>
      </c>
      <c r="E720" s="5">
        <v>50.437010000000001</v>
      </c>
      <c r="F720" s="5">
        <v>-105.18061899999999</v>
      </c>
      <c r="G720" s="6"/>
      <c r="H720" s="6"/>
      <c r="L720" s="5">
        <v>2</v>
      </c>
      <c r="M720" s="5">
        <v>4</v>
      </c>
      <c r="T720" s="5" t="s">
        <v>802</v>
      </c>
      <c r="W720" s="5" t="s">
        <v>44</v>
      </c>
      <c r="AI720" s="5" t="s">
        <v>951</v>
      </c>
      <c r="AJ720" s="5" t="s">
        <v>856</v>
      </c>
    </row>
    <row r="721" spans="1:36" x14ac:dyDescent="0.25">
      <c r="A721" s="5" t="s">
        <v>250</v>
      </c>
      <c r="B721" s="5" t="s">
        <v>795</v>
      </c>
      <c r="C721" s="5" t="s">
        <v>2148</v>
      </c>
      <c r="D721" s="5" t="s">
        <v>2149</v>
      </c>
      <c r="E721" s="5">
        <v>50.875937</v>
      </c>
      <c r="F721" s="5">
        <v>5.9332390000000004</v>
      </c>
      <c r="I721" s="6">
        <v>31388</v>
      </c>
      <c r="J721" s="6">
        <v>37499</v>
      </c>
      <c r="L721" s="5">
        <f>9+145</f>
        <v>154</v>
      </c>
      <c r="M721" s="5">
        <v>3.9</v>
      </c>
      <c r="N721" s="5" t="s">
        <v>65</v>
      </c>
      <c r="P721" s="7">
        <v>37065</v>
      </c>
      <c r="Q721" s="5">
        <v>2001</v>
      </c>
      <c r="T721" s="5" t="s">
        <v>797</v>
      </c>
      <c r="U721" s="5" t="s">
        <v>556</v>
      </c>
      <c r="W721" s="5" t="s">
        <v>44</v>
      </c>
      <c r="AI721" s="5" t="s">
        <v>2150</v>
      </c>
      <c r="AJ721" s="5" t="s">
        <v>2151</v>
      </c>
    </row>
    <row r="722" spans="1:36" x14ac:dyDescent="0.25">
      <c r="A722" s="5" t="s">
        <v>108</v>
      </c>
      <c r="B722" s="5" t="s">
        <v>795</v>
      </c>
      <c r="C722" s="5" t="s">
        <v>952</v>
      </c>
      <c r="D722" s="5" t="s">
        <v>953</v>
      </c>
      <c r="E722" s="5">
        <v>42.457056000000001</v>
      </c>
      <c r="F722" s="5">
        <v>13.580297</v>
      </c>
      <c r="G722" s="5">
        <v>1970</v>
      </c>
      <c r="H722" s="5">
        <v>1986</v>
      </c>
      <c r="M722" s="5">
        <v>3.9</v>
      </c>
      <c r="P722" s="7">
        <v>33841</v>
      </c>
      <c r="Q722" s="5">
        <v>1992</v>
      </c>
      <c r="T722" s="5" t="s">
        <v>116</v>
      </c>
      <c r="W722" s="5" t="s">
        <v>73</v>
      </c>
      <c r="AJ722" s="5" t="s">
        <v>954</v>
      </c>
    </row>
    <row r="723" spans="1:36" x14ac:dyDescent="0.25">
      <c r="A723" s="5" t="s">
        <v>51</v>
      </c>
      <c r="B723" s="5" t="s">
        <v>795</v>
      </c>
      <c r="C723" s="5" t="s">
        <v>825</v>
      </c>
      <c r="D723" s="5" t="s">
        <v>958</v>
      </c>
      <c r="E723" s="5">
        <v>39.459919999999997</v>
      </c>
      <c r="F723" s="5">
        <v>-111.167632</v>
      </c>
      <c r="M723" s="5">
        <v>3.9</v>
      </c>
      <c r="N723" s="5" t="s">
        <v>65</v>
      </c>
      <c r="O723" s="5" t="s">
        <v>959</v>
      </c>
      <c r="P723" s="7">
        <v>39300</v>
      </c>
      <c r="Q723" s="5">
        <v>2007</v>
      </c>
      <c r="T723" s="5" t="s">
        <v>797</v>
      </c>
      <c r="V723" s="5" t="s">
        <v>960</v>
      </c>
      <c r="W723" s="5" t="s">
        <v>44</v>
      </c>
      <c r="AJ723" s="5" t="s">
        <v>961</v>
      </c>
    </row>
    <row r="724" spans="1:36" x14ac:dyDescent="0.25">
      <c r="A724" s="5" t="s">
        <v>806</v>
      </c>
      <c r="B724" s="5" t="s">
        <v>795</v>
      </c>
      <c r="C724" s="5" t="s">
        <v>795</v>
      </c>
      <c r="D724" s="5" t="s">
        <v>955</v>
      </c>
      <c r="E724" s="5">
        <v>-26.467599</v>
      </c>
      <c r="F724" s="5">
        <v>27.309341</v>
      </c>
      <c r="I724" s="5">
        <v>1983</v>
      </c>
      <c r="J724" s="5">
        <v>1996</v>
      </c>
      <c r="L724" s="5">
        <v>10000</v>
      </c>
      <c r="M724" s="5">
        <v>3.9</v>
      </c>
      <c r="N724" s="5" t="s">
        <v>65</v>
      </c>
      <c r="T724" s="5" t="s">
        <v>809</v>
      </c>
      <c r="V724" s="5" t="s">
        <v>956</v>
      </c>
      <c r="W724" s="5" t="s">
        <v>44</v>
      </c>
      <c r="AJ724" s="5" t="s">
        <v>949</v>
      </c>
    </row>
    <row r="725" spans="1:36" x14ac:dyDescent="0.25">
      <c r="A725" s="5" t="s">
        <v>806</v>
      </c>
      <c r="B725" s="5" t="s">
        <v>795</v>
      </c>
      <c r="C725" s="5" t="s">
        <v>795</v>
      </c>
      <c r="D725" s="5" t="s">
        <v>957</v>
      </c>
      <c r="E725" s="5">
        <v>-26.386227000000002</v>
      </c>
      <c r="F725" s="5">
        <v>27.503415</v>
      </c>
      <c r="I725" s="5">
        <v>1983</v>
      </c>
      <c r="J725" s="5">
        <v>1996</v>
      </c>
      <c r="L725" s="5">
        <v>3200</v>
      </c>
      <c r="M725" s="5">
        <v>3.9</v>
      </c>
      <c r="N725" s="5" t="s">
        <v>65</v>
      </c>
      <c r="T725" s="5" t="s">
        <v>809</v>
      </c>
      <c r="W725" s="5" t="s">
        <v>44</v>
      </c>
      <c r="AJ725" s="5" t="s">
        <v>949</v>
      </c>
    </row>
    <row r="726" spans="1:36" x14ac:dyDescent="0.25">
      <c r="A726" s="5" t="s">
        <v>164</v>
      </c>
      <c r="B726" s="5" t="s">
        <v>795</v>
      </c>
      <c r="C726" s="5" t="s">
        <v>795</v>
      </c>
      <c r="D726" s="5" t="s">
        <v>963</v>
      </c>
      <c r="E726" s="5">
        <v>47.83</v>
      </c>
      <c r="F726" s="5">
        <v>11.1</v>
      </c>
      <c r="G726" s="6"/>
      <c r="H726" s="6"/>
      <c r="I726" s="6"/>
      <c r="M726" s="5">
        <v>3.8</v>
      </c>
      <c r="N726" s="5" t="s">
        <v>40</v>
      </c>
      <c r="P726" s="7">
        <v>24731</v>
      </c>
      <c r="Q726" s="5">
        <v>1967</v>
      </c>
      <c r="T726" s="5" t="s">
        <v>797</v>
      </c>
      <c r="W726" s="5" t="s">
        <v>44</v>
      </c>
      <c r="AJ726" s="5" t="s">
        <v>926</v>
      </c>
    </row>
    <row r="727" spans="1:36" x14ac:dyDescent="0.25">
      <c r="A727" s="5" t="s">
        <v>153</v>
      </c>
      <c r="B727" s="5" t="s">
        <v>795</v>
      </c>
      <c r="C727" s="5" t="s">
        <v>795</v>
      </c>
      <c r="D727" s="5" t="s">
        <v>965</v>
      </c>
      <c r="I727" s="5">
        <v>1971</v>
      </c>
      <c r="M727" s="5">
        <v>3.8</v>
      </c>
      <c r="N727" s="5" t="s">
        <v>65</v>
      </c>
      <c r="P727" s="7">
        <v>26101</v>
      </c>
      <c r="Q727" s="5">
        <v>1971</v>
      </c>
      <c r="T727" s="5" t="s">
        <v>797</v>
      </c>
      <c r="W727" s="5" t="s">
        <v>966</v>
      </c>
      <c r="AJ727" s="5" t="s">
        <v>2672</v>
      </c>
    </row>
    <row r="728" spans="1:36" x14ac:dyDescent="0.25">
      <c r="A728" s="14" t="s">
        <v>51</v>
      </c>
      <c r="B728" s="5" t="s">
        <v>795</v>
      </c>
      <c r="C728" s="5" t="s">
        <v>825</v>
      </c>
      <c r="D728" s="14" t="s">
        <v>962</v>
      </c>
      <c r="E728" s="14">
        <v>39.481057999999997</v>
      </c>
      <c r="F728" s="14">
        <v>-111.078484</v>
      </c>
      <c r="J728" s="6"/>
      <c r="M728" s="14">
        <v>3.8</v>
      </c>
      <c r="N728" s="5" t="s">
        <v>65</v>
      </c>
      <c r="O728" s="5">
        <v>700</v>
      </c>
      <c r="P728" s="13">
        <v>29720</v>
      </c>
      <c r="Q728" s="14">
        <v>1981</v>
      </c>
      <c r="R728" s="14"/>
      <c r="S728" s="14"/>
      <c r="T728" s="14" t="s">
        <v>797</v>
      </c>
      <c r="W728" s="5" t="s">
        <v>44</v>
      </c>
      <c r="AJ728" s="5" t="s">
        <v>910</v>
      </c>
    </row>
    <row r="729" spans="1:36" x14ac:dyDescent="0.25">
      <c r="A729" s="5" t="s">
        <v>51</v>
      </c>
      <c r="B729" s="5" t="s">
        <v>795</v>
      </c>
      <c r="C729" s="5" t="s">
        <v>795</v>
      </c>
      <c r="D729" s="5" t="s">
        <v>964</v>
      </c>
      <c r="E729" s="5">
        <v>36.945050999999999</v>
      </c>
      <c r="F729" s="5">
        <v>-83.003341000000006</v>
      </c>
      <c r="M729" s="5">
        <v>3.8</v>
      </c>
      <c r="N729" s="5" t="s">
        <v>65</v>
      </c>
      <c r="P729" s="7">
        <v>34549</v>
      </c>
      <c r="Q729" s="5">
        <v>1994</v>
      </c>
      <c r="T729" s="5" t="s">
        <v>797</v>
      </c>
      <c r="W729" s="5" t="s">
        <v>44</v>
      </c>
      <c r="AJ729" s="5" t="s">
        <v>879</v>
      </c>
    </row>
    <row r="730" spans="1:36" x14ac:dyDescent="0.25">
      <c r="A730" s="5" t="s">
        <v>153</v>
      </c>
      <c r="B730" s="5" t="s">
        <v>795</v>
      </c>
      <c r="C730" s="5" t="s">
        <v>795</v>
      </c>
      <c r="D730" s="5" t="s">
        <v>967</v>
      </c>
      <c r="E730" s="5">
        <v>41.964849000000001</v>
      </c>
      <c r="F730" s="5">
        <v>121.636624</v>
      </c>
      <c r="I730" s="5" t="s">
        <v>968</v>
      </c>
      <c r="M730" s="5">
        <v>3.8</v>
      </c>
      <c r="N730" s="5" t="s">
        <v>65</v>
      </c>
      <c r="P730" s="7">
        <v>38154</v>
      </c>
      <c r="Q730" s="5">
        <v>2004</v>
      </c>
      <c r="T730" s="5" t="s">
        <v>797</v>
      </c>
      <c r="W730" s="5" t="s">
        <v>44</v>
      </c>
      <c r="AJ730" s="5" t="s">
        <v>2672</v>
      </c>
    </row>
    <row r="731" spans="1:36" x14ac:dyDescent="0.25">
      <c r="A731" s="5" t="s">
        <v>842</v>
      </c>
      <c r="B731" s="5" t="s">
        <v>795</v>
      </c>
      <c r="C731" s="5" t="s">
        <v>795</v>
      </c>
      <c r="D731" s="5" t="s">
        <v>977</v>
      </c>
      <c r="E731" s="5">
        <v>50.346009000000002</v>
      </c>
      <c r="F731" s="5">
        <v>18.878043999999999</v>
      </c>
      <c r="L731" s="5">
        <v>4722</v>
      </c>
      <c r="M731" s="5">
        <v>3.8</v>
      </c>
      <c r="N731" s="5" t="s">
        <v>65</v>
      </c>
      <c r="P731" s="7">
        <v>39122</v>
      </c>
      <c r="Q731" s="5">
        <v>2007</v>
      </c>
      <c r="T731" s="5" t="s">
        <v>797</v>
      </c>
      <c r="U731" s="5" t="s">
        <v>978</v>
      </c>
      <c r="V731" s="5">
        <v>700</v>
      </c>
      <c r="W731" s="14" t="s">
        <v>44</v>
      </c>
      <c r="AC731" s="5">
        <v>3675000</v>
      </c>
      <c r="AD731" s="5" t="s">
        <v>92</v>
      </c>
      <c r="AI731" s="5" t="s">
        <v>979</v>
      </c>
      <c r="AJ731" s="5" t="s">
        <v>980</v>
      </c>
    </row>
    <row r="732" spans="1:36" x14ac:dyDescent="0.25">
      <c r="A732" s="14" t="s">
        <v>123</v>
      </c>
      <c r="B732" s="5" t="s">
        <v>795</v>
      </c>
      <c r="C732" s="5" t="s">
        <v>795</v>
      </c>
      <c r="D732" s="14" t="s">
        <v>970</v>
      </c>
      <c r="E732" s="14">
        <v>46.477302000000002</v>
      </c>
      <c r="F732" s="14">
        <v>-81.055916999999994</v>
      </c>
      <c r="M732" s="14">
        <v>3.8</v>
      </c>
      <c r="N732" s="5" t="s">
        <v>933</v>
      </c>
      <c r="P732" s="13">
        <v>39702</v>
      </c>
      <c r="Q732" s="14">
        <v>2008</v>
      </c>
      <c r="R732" s="14"/>
      <c r="S732" s="14"/>
      <c r="T732" s="5" t="s">
        <v>971</v>
      </c>
      <c r="W732" s="5" t="s">
        <v>44</v>
      </c>
      <c r="AJ732" s="14" t="s">
        <v>935</v>
      </c>
    </row>
    <row r="733" spans="1:36" x14ac:dyDescent="0.25">
      <c r="A733" s="14" t="s">
        <v>123</v>
      </c>
      <c r="B733" s="5" t="s">
        <v>795</v>
      </c>
      <c r="C733" s="5" t="s">
        <v>795</v>
      </c>
      <c r="D733" s="14" t="s">
        <v>972</v>
      </c>
      <c r="E733" s="14">
        <v>48.690258999999998</v>
      </c>
      <c r="F733" s="14">
        <v>-81.373536000000001</v>
      </c>
      <c r="M733" s="14">
        <v>3.8</v>
      </c>
      <c r="N733" s="5" t="s">
        <v>933</v>
      </c>
      <c r="P733" s="13">
        <v>39819</v>
      </c>
      <c r="Q733" s="14">
        <v>2009</v>
      </c>
      <c r="R733" s="14"/>
      <c r="S733" s="14"/>
      <c r="T733" s="5" t="s">
        <v>973</v>
      </c>
      <c r="W733" s="5" t="s">
        <v>44</v>
      </c>
      <c r="AJ733" s="14" t="s">
        <v>935</v>
      </c>
    </row>
    <row r="734" spans="1:36" ht="15" customHeight="1" x14ac:dyDescent="0.25">
      <c r="A734" s="5" t="s">
        <v>806</v>
      </c>
      <c r="B734" s="5" t="s">
        <v>795</v>
      </c>
      <c r="C734" s="5" t="s">
        <v>795</v>
      </c>
      <c r="D734" s="5" t="s">
        <v>969</v>
      </c>
      <c r="E734" s="5">
        <v>-26.456845000000001</v>
      </c>
      <c r="F734" s="5">
        <v>27.359155999999999</v>
      </c>
      <c r="I734" s="5">
        <v>1983</v>
      </c>
      <c r="J734" s="5">
        <v>1996</v>
      </c>
      <c r="L734" s="5">
        <v>70000</v>
      </c>
      <c r="M734" s="5">
        <v>3.8</v>
      </c>
      <c r="N734" s="5" t="s">
        <v>65</v>
      </c>
      <c r="T734" s="5" t="s">
        <v>809</v>
      </c>
      <c r="W734" s="5" t="s">
        <v>44</v>
      </c>
      <c r="AJ734" s="5" t="s">
        <v>949</v>
      </c>
    </row>
    <row r="735" spans="1:36" x14ac:dyDescent="0.25">
      <c r="A735" s="5" t="s">
        <v>842</v>
      </c>
      <c r="B735" s="5" t="s">
        <v>795</v>
      </c>
      <c r="C735" s="5" t="s">
        <v>795</v>
      </c>
      <c r="D735" s="5" t="s">
        <v>974</v>
      </c>
      <c r="E735" s="5">
        <v>50.341180000000001</v>
      </c>
      <c r="F735" s="5">
        <v>18.829328</v>
      </c>
      <c r="M735" s="5">
        <v>3.8</v>
      </c>
      <c r="N735" s="5" t="s">
        <v>65</v>
      </c>
      <c r="T735" s="5" t="s">
        <v>797</v>
      </c>
      <c r="W735" s="5" t="s">
        <v>44</v>
      </c>
      <c r="AI735" s="5" t="s">
        <v>975</v>
      </c>
      <c r="AJ735" s="5" t="s">
        <v>976</v>
      </c>
    </row>
    <row r="736" spans="1:36" x14ac:dyDescent="0.25">
      <c r="A736" s="5" t="s">
        <v>842</v>
      </c>
      <c r="B736" s="5" t="s">
        <v>795</v>
      </c>
      <c r="C736" s="5" t="s">
        <v>795</v>
      </c>
      <c r="D736" s="5" t="s">
        <v>981</v>
      </c>
      <c r="E736" s="5">
        <v>50.348917999999998</v>
      </c>
      <c r="F736" s="5">
        <v>18.842120999999999</v>
      </c>
      <c r="M736" s="5">
        <v>3.8</v>
      </c>
      <c r="N736" s="5" t="s">
        <v>65</v>
      </c>
      <c r="T736" s="5" t="s">
        <v>797</v>
      </c>
      <c r="W736" s="14" t="s">
        <v>44</v>
      </c>
      <c r="AI736" s="5" t="s">
        <v>982</v>
      </c>
      <c r="AJ736" s="5" t="s">
        <v>980</v>
      </c>
    </row>
    <row r="737" spans="1:36" x14ac:dyDescent="0.25">
      <c r="A737" s="5" t="s">
        <v>842</v>
      </c>
      <c r="B737" s="5" t="s">
        <v>795</v>
      </c>
      <c r="C737" s="5" t="s">
        <v>795</v>
      </c>
      <c r="D737" s="5" t="s">
        <v>983</v>
      </c>
      <c r="E737" s="5">
        <v>50.331617999999999</v>
      </c>
      <c r="F737" s="5">
        <v>18.90851</v>
      </c>
      <c r="M737" s="5">
        <v>3.8</v>
      </c>
      <c r="N737" s="5" t="s">
        <v>65</v>
      </c>
      <c r="T737" s="5" t="s">
        <v>797</v>
      </c>
      <c r="W737" s="14" t="s">
        <v>44</v>
      </c>
      <c r="AI737" s="5" t="s">
        <v>982</v>
      </c>
      <c r="AJ737" s="5" t="s">
        <v>980</v>
      </c>
    </row>
    <row r="738" spans="1:36" x14ac:dyDescent="0.25">
      <c r="A738" s="5" t="s">
        <v>347</v>
      </c>
      <c r="B738" s="5" t="s">
        <v>795</v>
      </c>
      <c r="C738" s="5" t="s">
        <v>795</v>
      </c>
      <c r="D738" s="5" t="s">
        <v>984</v>
      </c>
      <c r="E738" s="5">
        <v>50.539093000000001</v>
      </c>
      <c r="F738" s="5">
        <v>13.521318000000001</v>
      </c>
      <c r="I738" s="6">
        <v>40909</v>
      </c>
      <c r="J738" s="6">
        <v>41274</v>
      </c>
      <c r="L738" s="5" t="s">
        <v>2351</v>
      </c>
      <c r="M738" s="5">
        <v>3.75</v>
      </c>
      <c r="P738" s="7">
        <v>30433</v>
      </c>
      <c r="Q738" s="5">
        <v>1983</v>
      </c>
      <c r="T738" s="5" t="s">
        <v>797</v>
      </c>
      <c r="V738" s="5">
        <v>0</v>
      </c>
      <c r="W738" s="5" t="s">
        <v>44</v>
      </c>
      <c r="AJ738" s="5" t="s">
        <v>2352</v>
      </c>
    </row>
    <row r="739" spans="1:36" x14ac:dyDescent="0.25">
      <c r="A739" s="5" t="s">
        <v>806</v>
      </c>
      <c r="B739" s="5" t="s">
        <v>795</v>
      </c>
      <c r="C739" s="5" t="s">
        <v>795</v>
      </c>
      <c r="D739" s="5" t="s">
        <v>1999</v>
      </c>
      <c r="E739" s="5">
        <v>-26.242384000000001</v>
      </c>
      <c r="F739" s="5">
        <v>28.221149</v>
      </c>
      <c r="I739" s="5">
        <v>1961</v>
      </c>
      <c r="L739" s="5">
        <v>445</v>
      </c>
      <c r="M739" s="5">
        <v>3.7</v>
      </c>
      <c r="N739" s="5" t="s">
        <v>65</v>
      </c>
      <c r="P739" s="7">
        <v>24002</v>
      </c>
      <c r="Q739" s="5">
        <v>1965</v>
      </c>
      <c r="T739" s="5" t="s">
        <v>809</v>
      </c>
      <c r="U739" s="5">
        <v>2500</v>
      </c>
      <c r="V739" s="5">
        <v>2500</v>
      </c>
      <c r="W739" s="5" t="s">
        <v>44</v>
      </c>
      <c r="AJ739" s="5" t="s">
        <v>2000</v>
      </c>
    </row>
    <row r="740" spans="1:36" x14ac:dyDescent="0.25">
      <c r="A740" s="5" t="s">
        <v>153</v>
      </c>
      <c r="B740" s="5" t="s">
        <v>795</v>
      </c>
      <c r="C740" s="5" t="s">
        <v>795</v>
      </c>
      <c r="D740" s="5" t="s">
        <v>986</v>
      </c>
      <c r="E740" s="5">
        <v>47.271073000000001</v>
      </c>
      <c r="F740" s="5">
        <v>130.28428500000001</v>
      </c>
      <c r="I740" s="5" t="s">
        <v>987</v>
      </c>
      <c r="M740" s="5">
        <v>3.7</v>
      </c>
      <c r="N740" s="5" t="s">
        <v>65</v>
      </c>
      <c r="O740" s="5">
        <v>347</v>
      </c>
      <c r="P740" s="7">
        <v>36923</v>
      </c>
      <c r="Q740" s="5">
        <v>2001</v>
      </c>
      <c r="T740" s="5" t="s">
        <v>797</v>
      </c>
      <c r="W740" s="5" t="s">
        <v>44</v>
      </c>
      <c r="AJ740" s="5" t="s">
        <v>2672</v>
      </c>
    </row>
    <row r="741" spans="1:36" x14ac:dyDescent="0.25">
      <c r="A741" s="5" t="s">
        <v>153</v>
      </c>
      <c r="B741" s="5" t="s">
        <v>795</v>
      </c>
      <c r="C741" s="5" t="s">
        <v>795</v>
      </c>
      <c r="D741" s="5" t="s">
        <v>988</v>
      </c>
      <c r="E741" s="5">
        <v>41.843397000000003</v>
      </c>
      <c r="F741" s="5">
        <v>123.941408</v>
      </c>
      <c r="I741" s="5" t="s">
        <v>989</v>
      </c>
      <c r="M741" s="5">
        <v>3.7</v>
      </c>
      <c r="N741" s="5" t="s">
        <v>65</v>
      </c>
      <c r="O741" s="5">
        <v>300</v>
      </c>
      <c r="P741" s="7">
        <v>37282</v>
      </c>
      <c r="Q741" s="5">
        <v>2002</v>
      </c>
      <c r="T741" s="5" t="s">
        <v>797</v>
      </c>
      <c r="W741" s="5" t="s">
        <v>44</v>
      </c>
      <c r="AJ741" s="5" t="s">
        <v>2672</v>
      </c>
    </row>
    <row r="742" spans="1:36" x14ac:dyDescent="0.25">
      <c r="A742" s="5" t="s">
        <v>164</v>
      </c>
      <c r="B742" s="5" t="s">
        <v>795</v>
      </c>
      <c r="C742" s="5" t="s">
        <v>795</v>
      </c>
      <c r="D742" s="5" t="s">
        <v>985</v>
      </c>
      <c r="E742" s="5">
        <v>49.38</v>
      </c>
      <c r="F742" s="5">
        <v>6.84</v>
      </c>
      <c r="M742" s="5">
        <v>3.7</v>
      </c>
      <c r="N742" s="5" t="s">
        <v>40</v>
      </c>
      <c r="O742" s="5">
        <v>1000</v>
      </c>
      <c r="P742" s="7">
        <v>39501</v>
      </c>
      <c r="Q742" s="5">
        <v>2008</v>
      </c>
      <c r="T742" s="5" t="s">
        <v>797</v>
      </c>
      <c r="W742" s="5" t="s">
        <v>44</v>
      </c>
      <c r="AJ742" s="5" t="s">
        <v>926</v>
      </c>
    </row>
    <row r="743" spans="1:36" x14ac:dyDescent="0.25">
      <c r="A743" s="5" t="s">
        <v>806</v>
      </c>
      <c r="B743" s="5" t="s">
        <v>795</v>
      </c>
      <c r="C743" s="5" t="s">
        <v>795</v>
      </c>
      <c r="D743" s="5" t="s">
        <v>990</v>
      </c>
      <c r="E743" s="5">
        <v>-26.436492999999999</v>
      </c>
      <c r="F743" s="5">
        <v>27.431927999999999</v>
      </c>
      <c r="I743" s="5">
        <v>1983</v>
      </c>
      <c r="J743" s="5">
        <v>1996</v>
      </c>
      <c r="L743" s="5">
        <v>80600</v>
      </c>
      <c r="M743" s="5">
        <v>3.7</v>
      </c>
      <c r="N743" s="5" t="s">
        <v>65</v>
      </c>
      <c r="T743" s="5" t="s">
        <v>809</v>
      </c>
      <c r="W743" s="5" t="s">
        <v>44</v>
      </c>
      <c r="AJ743" s="5" t="s">
        <v>949</v>
      </c>
    </row>
    <row r="744" spans="1:36" x14ac:dyDescent="0.25">
      <c r="A744" s="5" t="s">
        <v>806</v>
      </c>
      <c r="B744" s="5" t="s">
        <v>795</v>
      </c>
      <c r="C744" s="5" t="s">
        <v>795</v>
      </c>
      <c r="D744" s="5" t="s">
        <v>991</v>
      </c>
      <c r="E744" s="5">
        <v>-26.445233999999999</v>
      </c>
      <c r="F744" s="5">
        <v>27.566673000000002</v>
      </c>
      <c r="I744" s="5">
        <v>1983</v>
      </c>
      <c r="J744" s="5">
        <v>1996</v>
      </c>
      <c r="L744" s="5">
        <v>90000</v>
      </c>
      <c r="M744" s="5">
        <v>3.7</v>
      </c>
      <c r="N744" s="5" t="s">
        <v>65</v>
      </c>
      <c r="T744" s="5" t="s">
        <v>809</v>
      </c>
      <c r="W744" s="5" t="s">
        <v>44</v>
      </c>
      <c r="AJ744" s="5" t="s">
        <v>949</v>
      </c>
    </row>
    <row r="745" spans="1:36" x14ac:dyDescent="0.25">
      <c r="A745" s="5" t="s">
        <v>153</v>
      </c>
      <c r="B745" s="5" t="s">
        <v>795</v>
      </c>
      <c r="C745" s="5" t="s">
        <v>795</v>
      </c>
      <c r="D745" s="5" t="s">
        <v>998</v>
      </c>
      <c r="E745" s="5">
        <v>30.855333000000002</v>
      </c>
      <c r="F745" s="5">
        <v>110.77313599999999</v>
      </c>
      <c r="I745" s="5">
        <v>1961</v>
      </c>
      <c r="M745" s="5">
        <v>3.6</v>
      </c>
      <c r="N745" s="5" t="s">
        <v>65</v>
      </c>
      <c r="P745" s="7">
        <v>26371</v>
      </c>
      <c r="Q745" s="5">
        <v>1972</v>
      </c>
      <c r="T745" s="5" t="s">
        <v>797</v>
      </c>
      <c r="W745" s="5" t="s">
        <v>44</v>
      </c>
      <c r="AJ745" s="5" t="s">
        <v>2672</v>
      </c>
    </row>
    <row r="746" spans="1:36" x14ac:dyDescent="0.25">
      <c r="A746" s="5" t="s">
        <v>153</v>
      </c>
      <c r="B746" s="5" t="s">
        <v>795</v>
      </c>
      <c r="C746" s="5" t="s">
        <v>795</v>
      </c>
      <c r="D746" s="5" t="s">
        <v>999</v>
      </c>
      <c r="E746" s="5">
        <v>34.877650000000003</v>
      </c>
      <c r="F746" s="5">
        <v>117.349977</v>
      </c>
      <c r="I746" s="5" t="s">
        <v>2675</v>
      </c>
      <c r="M746" s="5">
        <v>3.6</v>
      </c>
      <c r="N746" s="5" t="s">
        <v>65</v>
      </c>
      <c r="O746" s="5">
        <v>450</v>
      </c>
      <c r="P746" s="7">
        <v>29958</v>
      </c>
      <c r="Q746" s="5">
        <v>1982</v>
      </c>
      <c r="T746" s="5" t="s">
        <v>797</v>
      </c>
      <c r="W746" s="5" t="s">
        <v>44</v>
      </c>
      <c r="AJ746" s="5" t="s">
        <v>2676</v>
      </c>
    </row>
    <row r="747" spans="1:36" x14ac:dyDescent="0.25">
      <c r="A747" s="5" t="s">
        <v>51</v>
      </c>
      <c r="B747" s="5" t="s">
        <v>795</v>
      </c>
      <c r="C747" s="5" t="s">
        <v>995</v>
      </c>
      <c r="D747" s="5" t="s">
        <v>996</v>
      </c>
      <c r="E747" s="5">
        <v>33.279594000000003</v>
      </c>
      <c r="F747" s="5">
        <v>-87.306826000000001</v>
      </c>
      <c r="M747" s="5">
        <v>3.6</v>
      </c>
      <c r="N747" s="5" t="s">
        <v>65</v>
      </c>
      <c r="P747" s="7">
        <v>31539</v>
      </c>
      <c r="Q747" s="5">
        <v>1986</v>
      </c>
      <c r="T747" s="5" t="s">
        <v>797</v>
      </c>
      <c r="U747" s="5">
        <v>610</v>
      </c>
      <c r="V747" s="5">
        <v>610</v>
      </c>
      <c r="W747" s="5" t="s">
        <v>44</v>
      </c>
      <c r="AJ747" s="5" t="s">
        <v>997</v>
      </c>
    </row>
    <row r="748" spans="1:36" x14ac:dyDescent="0.25">
      <c r="A748" s="5" t="s">
        <v>153</v>
      </c>
      <c r="B748" s="5" t="s">
        <v>795</v>
      </c>
      <c r="C748" s="5" t="s">
        <v>795</v>
      </c>
      <c r="D748" s="5" t="s">
        <v>1001</v>
      </c>
      <c r="I748" s="5" t="s">
        <v>1002</v>
      </c>
      <c r="M748" s="5">
        <v>3.6</v>
      </c>
      <c r="N748" s="5" t="s">
        <v>65</v>
      </c>
      <c r="P748" s="7">
        <v>33428</v>
      </c>
      <c r="Q748" s="5">
        <v>1991</v>
      </c>
      <c r="T748" s="5" t="s">
        <v>797</v>
      </c>
      <c r="W748" s="5" t="s">
        <v>44</v>
      </c>
      <c r="AJ748" s="5" t="s">
        <v>903</v>
      </c>
    </row>
    <row r="749" spans="1:36" x14ac:dyDescent="0.25">
      <c r="A749" s="5" t="s">
        <v>153</v>
      </c>
      <c r="B749" s="5" t="s">
        <v>795</v>
      </c>
      <c r="C749" s="5" t="s">
        <v>795</v>
      </c>
      <c r="D749" s="5" t="s">
        <v>1006</v>
      </c>
      <c r="E749" s="5">
        <v>26.231999999999999</v>
      </c>
      <c r="F749" s="5">
        <v>105.45</v>
      </c>
      <c r="I749" s="5" t="s">
        <v>1002</v>
      </c>
      <c r="M749" s="5">
        <v>3.6</v>
      </c>
      <c r="N749" s="5" t="s">
        <v>65</v>
      </c>
      <c r="P749" s="7">
        <v>33428</v>
      </c>
      <c r="Q749" s="5">
        <v>1991</v>
      </c>
      <c r="T749" s="5" t="s">
        <v>797</v>
      </c>
      <c r="W749" s="5" t="s">
        <v>44</v>
      </c>
      <c r="AJ749" s="5" t="s">
        <v>2677</v>
      </c>
    </row>
    <row r="750" spans="1:36" x14ac:dyDescent="0.25">
      <c r="A750" s="14" t="s">
        <v>51</v>
      </c>
      <c r="B750" s="5" t="s">
        <v>795</v>
      </c>
      <c r="C750" s="5" t="s">
        <v>795</v>
      </c>
      <c r="D750" s="14" t="s">
        <v>994</v>
      </c>
      <c r="E750" s="14">
        <v>39.531779</v>
      </c>
      <c r="F750" s="14">
        <v>-110.687049</v>
      </c>
      <c r="J750" s="6"/>
      <c r="M750" s="14">
        <v>3.6</v>
      </c>
      <c r="N750" s="5" t="s">
        <v>65</v>
      </c>
      <c r="P750" s="13">
        <v>33990</v>
      </c>
      <c r="Q750" s="14">
        <v>1993</v>
      </c>
      <c r="R750" s="14"/>
      <c r="S750" s="14"/>
      <c r="T750" s="14" t="s">
        <v>797</v>
      </c>
      <c r="W750" s="5" t="s">
        <v>44</v>
      </c>
      <c r="AJ750" s="5" t="s">
        <v>879</v>
      </c>
    </row>
    <row r="751" spans="1:36" x14ac:dyDescent="0.25">
      <c r="A751" s="14" t="s">
        <v>51</v>
      </c>
      <c r="B751" s="5" t="s">
        <v>795</v>
      </c>
      <c r="C751" s="5" t="s">
        <v>825</v>
      </c>
      <c r="D751" s="14" t="s">
        <v>992</v>
      </c>
      <c r="E751" s="14">
        <v>42.824585999999996</v>
      </c>
      <c r="F751" s="14">
        <v>-77.885228999999995</v>
      </c>
      <c r="M751" s="14">
        <v>3.6</v>
      </c>
      <c r="P751" s="13">
        <v>34405</v>
      </c>
      <c r="Q751" s="14">
        <v>1994</v>
      </c>
      <c r="R751" s="14"/>
      <c r="S751" s="14"/>
      <c r="T751" s="14" t="s">
        <v>859</v>
      </c>
      <c r="W751" s="5" t="s">
        <v>44</v>
      </c>
      <c r="AJ751" s="5" t="s">
        <v>993</v>
      </c>
    </row>
    <row r="752" spans="1:36" x14ac:dyDescent="0.25">
      <c r="A752" s="5" t="s">
        <v>51</v>
      </c>
      <c r="B752" s="5" t="s">
        <v>795</v>
      </c>
      <c r="C752" s="5" t="s">
        <v>825</v>
      </c>
      <c r="D752" s="5" t="s">
        <v>1011</v>
      </c>
      <c r="E752" s="5">
        <v>42.747588</v>
      </c>
      <c r="F752" s="5">
        <v>-77.837100000000007</v>
      </c>
      <c r="M752" s="5">
        <v>3.6</v>
      </c>
      <c r="P752" s="5">
        <v>1994</v>
      </c>
      <c r="Q752" s="5">
        <v>1994</v>
      </c>
      <c r="W752" s="5" t="s">
        <v>44</v>
      </c>
      <c r="AJ752" s="5" t="s">
        <v>1012</v>
      </c>
    </row>
    <row r="753" spans="1:36" x14ac:dyDescent="0.25">
      <c r="A753" s="5" t="s">
        <v>149</v>
      </c>
      <c r="B753" s="5" t="s">
        <v>795</v>
      </c>
      <c r="C753" s="5" t="s">
        <v>836</v>
      </c>
      <c r="D753" s="5" t="s">
        <v>1008</v>
      </c>
      <c r="E753" s="5">
        <v>52.764533</v>
      </c>
      <c r="F753" s="5">
        <v>87.909153000000003</v>
      </c>
      <c r="M753" s="5">
        <v>3.6</v>
      </c>
      <c r="N753" s="5" t="s">
        <v>65</v>
      </c>
      <c r="P753" s="7">
        <v>36457</v>
      </c>
      <c r="Q753" s="5">
        <v>1999</v>
      </c>
      <c r="T753" s="5" t="s">
        <v>1009</v>
      </c>
      <c r="W753" s="5" t="s">
        <v>44</v>
      </c>
      <c r="AJ753" s="5" t="s">
        <v>839</v>
      </c>
    </row>
    <row r="754" spans="1:36" x14ac:dyDescent="0.25">
      <c r="A754" s="5" t="s">
        <v>153</v>
      </c>
      <c r="B754" s="5" t="s">
        <v>795</v>
      </c>
      <c r="C754" s="5" t="s">
        <v>825</v>
      </c>
      <c r="D754" s="5" t="s">
        <v>1003</v>
      </c>
      <c r="I754" s="5" t="s">
        <v>1004</v>
      </c>
      <c r="M754" s="5">
        <v>3.6</v>
      </c>
      <c r="N754" s="5" t="s">
        <v>65</v>
      </c>
      <c r="P754" s="7">
        <v>37396</v>
      </c>
      <c r="Q754" s="5">
        <v>2002</v>
      </c>
      <c r="T754" s="5" t="s">
        <v>1005</v>
      </c>
      <c r="W754" s="5" t="s">
        <v>44</v>
      </c>
      <c r="AJ754" s="5" t="s">
        <v>2672</v>
      </c>
    </row>
    <row r="755" spans="1:36" x14ac:dyDescent="0.25">
      <c r="A755" s="5" t="s">
        <v>149</v>
      </c>
      <c r="B755" s="5" t="s">
        <v>795</v>
      </c>
      <c r="C755" s="5" t="s">
        <v>836</v>
      </c>
      <c r="D755" s="5" t="s">
        <v>1010</v>
      </c>
      <c r="E755" s="5">
        <v>67.880473438213102</v>
      </c>
      <c r="F755" s="5">
        <v>34.667269105953103</v>
      </c>
      <c r="M755" s="5">
        <v>3.6</v>
      </c>
      <c r="N755" s="5" t="s">
        <v>65</v>
      </c>
      <c r="P755" s="7">
        <v>37607</v>
      </c>
      <c r="Q755" s="5">
        <v>2002</v>
      </c>
      <c r="T755" s="5" t="s">
        <v>838</v>
      </c>
      <c r="W755" s="5" t="s">
        <v>44</v>
      </c>
      <c r="AJ755" s="5" t="s">
        <v>839</v>
      </c>
    </row>
    <row r="756" spans="1:36" x14ac:dyDescent="0.25">
      <c r="A756" s="5" t="s">
        <v>149</v>
      </c>
      <c r="B756" s="5" t="s">
        <v>795</v>
      </c>
      <c r="C756" s="5" t="s">
        <v>2152</v>
      </c>
      <c r="D756" s="5" t="s">
        <v>2153</v>
      </c>
      <c r="E756" s="5">
        <v>67.709903999999995</v>
      </c>
      <c r="F756" s="5">
        <v>64.489935000000003</v>
      </c>
      <c r="M756" s="5">
        <v>3.6</v>
      </c>
      <c r="N756" s="5" t="s">
        <v>808</v>
      </c>
      <c r="O756" s="5">
        <v>10000</v>
      </c>
      <c r="P756" s="7">
        <v>38495</v>
      </c>
      <c r="Q756" s="5">
        <v>2005</v>
      </c>
      <c r="T756" s="5" t="s">
        <v>797</v>
      </c>
      <c r="W756" s="5" t="s">
        <v>44</v>
      </c>
      <c r="AI756" s="5" t="s">
        <v>2154</v>
      </c>
      <c r="AJ756" s="5" t="s">
        <v>2091</v>
      </c>
    </row>
    <row r="757" spans="1:36" x14ac:dyDescent="0.25">
      <c r="A757" s="5" t="s">
        <v>153</v>
      </c>
      <c r="B757" s="5" t="s">
        <v>795</v>
      </c>
      <c r="C757" s="5" t="s">
        <v>795</v>
      </c>
      <c r="D757" s="5" t="s">
        <v>2678</v>
      </c>
      <c r="E757" s="5">
        <v>29.37</v>
      </c>
      <c r="F757" s="5">
        <v>111.36</v>
      </c>
      <c r="I757" s="5">
        <v>2002</v>
      </c>
      <c r="M757" s="5">
        <v>3.6</v>
      </c>
      <c r="P757" s="7">
        <v>38948</v>
      </c>
      <c r="Q757" s="5">
        <v>2006</v>
      </c>
      <c r="T757" s="5" t="s">
        <v>1005</v>
      </c>
      <c r="W757" s="5" t="s">
        <v>44</v>
      </c>
      <c r="AJ757" s="5" t="s">
        <v>2679</v>
      </c>
    </row>
    <row r="758" spans="1:36" x14ac:dyDescent="0.25">
      <c r="A758" s="14" t="s">
        <v>51</v>
      </c>
      <c r="B758" s="5" t="s">
        <v>795</v>
      </c>
      <c r="C758" s="5" t="s">
        <v>825</v>
      </c>
      <c r="D758" s="14" t="s">
        <v>1013</v>
      </c>
      <c r="E758" s="14">
        <v>39.313281000000003</v>
      </c>
      <c r="F758" s="14">
        <v>-111.159865</v>
      </c>
      <c r="J758" s="6"/>
      <c r="M758" s="14">
        <v>3.5</v>
      </c>
      <c r="N758" s="5" t="s">
        <v>65</v>
      </c>
      <c r="O758" s="5">
        <v>5600</v>
      </c>
      <c r="P758" s="13">
        <v>33790</v>
      </c>
      <c r="Q758" s="14">
        <v>1992</v>
      </c>
      <c r="R758" s="14"/>
      <c r="S758" s="14"/>
      <c r="T758" s="14" t="s">
        <v>797</v>
      </c>
      <c r="W758" s="5" t="s">
        <v>44</v>
      </c>
      <c r="AJ758" s="5" t="s">
        <v>910</v>
      </c>
    </row>
    <row r="759" spans="1:36" x14ac:dyDescent="0.25">
      <c r="A759" s="14" t="s">
        <v>164</v>
      </c>
      <c r="B759" s="5" t="s">
        <v>795</v>
      </c>
      <c r="C759" s="5" t="s">
        <v>795</v>
      </c>
      <c r="D759" s="14" t="s">
        <v>1016</v>
      </c>
      <c r="E759" s="14">
        <v>49.329281000000002</v>
      </c>
      <c r="F759" s="14">
        <v>6.9364759999999999</v>
      </c>
      <c r="G759" s="5">
        <v>1979</v>
      </c>
      <c r="L759" s="5" t="s">
        <v>1017</v>
      </c>
      <c r="M759" s="14">
        <v>3.5</v>
      </c>
      <c r="N759" s="5" t="s">
        <v>65</v>
      </c>
      <c r="P759" s="13" t="s">
        <v>1018</v>
      </c>
      <c r="Q759" s="14">
        <v>2000</v>
      </c>
      <c r="R759" s="14"/>
      <c r="S759" s="14"/>
      <c r="T759" s="14" t="s">
        <v>797</v>
      </c>
      <c r="V759" s="5" t="s">
        <v>1019</v>
      </c>
      <c r="W759" s="5" t="s">
        <v>44</v>
      </c>
      <c r="AJ759" s="5" t="s">
        <v>1020</v>
      </c>
    </row>
    <row r="760" spans="1:36" x14ac:dyDescent="0.25">
      <c r="A760" s="5" t="s">
        <v>149</v>
      </c>
      <c r="B760" s="5" t="s">
        <v>795</v>
      </c>
      <c r="C760" s="5" t="s">
        <v>795</v>
      </c>
      <c r="D760" s="5" t="s">
        <v>1025</v>
      </c>
      <c r="E760" s="5">
        <v>60.158281000000002</v>
      </c>
      <c r="F760" s="5">
        <v>59.956041999999997</v>
      </c>
      <c r="M760" s="5">
        <v>3.5</v>
      </c>
      <c r="N760" s="5" t="s">
        <v>65</v>
      </c>
      <c r="P760" s="7">
        <v>40222</v>
      </c>
      <c r="Q760" s="5">
        <v>2010</v>
      </c>
      <c r="T760" s="5" t="s">
        <v>908</v>
      </c>
      <c r="W760" s="5" t="s">
        <v>44</v>
      </c>
      <c r="AJ760" s="5" t="s">
        <v>839</v>
      </c>
    </row>
    <row r="761" spans="1:36" x14ac:dyDescent="0.25">
      <c r="A761" s="5" t="s">
        <v>550</v>
      </c>
      <c r="B761" s="5" t="s">
        <v>795</v>
      </c>
      <c r="C761" s="5" t="s">
        <v>795</v>
      </c>
      <c r="D761" s="5" t="s">
        <v>1014</v>
      </c>
      <c r="E761" s="5">
        <v>-30.442015000000001</v>
      </c>
      <c r="F761" s="5">
        <v>136.83500900000001</v>
      </c>
      <c r="M761" s="5">
        <v>3.5</v>
      </c>
      <c r="P761" s="7">
        <v>41395</v>
      </c>
      <c r="Q761" s="5">
        <v>2013</v>
      </c>
      <c r="W761" s="5" t="s">
        <v>44</v>
      </c>
      <c r="AJ761" s="5" t="s">
        <v>1015</v>
      </c>
    </row>
    <row r="762" spans="1:36" ht="15" customHeight="1" x14ac:dyDescent="0.25">
      <c r="A762" s="5" t="s">
        <v>51</v>
      </c>
      <c r="B762" s="5" t="s">
        <v>795</v>
      </c>
      <c r="C762" s="5" t="s">
        <v>795</v>
      </c>
      <c r="D762" s="5" t="s">
        <v>1021</v>
      </c>
      <c r="E762" s="5">
        <v>47.470626000000003</v>
      </c>
      <c r="F762" s="5">
        <v>-115.784873</v>
      </c>
      <c r="L762" s="5" t="s">
        <v>1022</v>
      </c>
      <c r="M762" s="5">
        <v>3.5</v>
      </c>
      <c r="T762" s="5" t="s">
        <v>1023</v>
      </c>
      <c r="V762" s="5">
        <v>1615</v>
      </c>
      <c r="W762" s="5" t="s">
        <v>44</v>
      </c>
      <c r="AJ762" s="5" t="s">
        <v>1024</v>
      </c>
    </row>
    <row r="763" spans="1:36" x14ac:dyDescent="0.25">
      <c r="A763" s="5" t="s">
        <v>1231</v>
      </c>
      <c r="B763" s="5" t="s">
        <v>795</v>
      </c>
      <c r="C763" s="5" t="s">
        <v>825</v>
      </c>
      <c r="D763" s="5" t="s">
        <v>2155</v>
      </c>
      <c r="E763" s="5">
        <v>52.835711000000003</v>
      </c>
      <c r="F763" s="5">
        <v>70.786632999999995</v>
      </c>
      <c r="M763" s="5">
        <v>3.5</v>
      </c>
      <c r="N763" s="5" t="s">
        <v>2156</v>
      </c>
      <c r="P763" s="7">
        <v>37749</v>
      </c>
      <c r="Q763" s="5">
        <v>2003</v>
      </c>
      <c r="T763" s="5" t="s">
        <v>809</v>
      </c>
      <c r="W763" s="5" t="s">
        <v>44</v>
      </c>
      <c r="AJ763" s="5" t="s">
        <v>2105</v>
      </c>
    </row>
    <row r="764" spans="1:36" x14ac:dyDescent="0.25">
      <c r="A764" s="5" t="s">
        <v>51</v>
      </c>
      <c r="B764" s="5" t="s">
        <v>795</v>
      </c>
      <c r="C764" s="5" t="s">
        <v>795</v>
      </c>
      <c r="D764" s="5" t="s">
        <v>1027</v>
      </c>
      <c r="E764" s="5">
        <v>37.387757999999998</v>
      </c>
      <c r="F764" s="5">
        <v>-81.651898000000003</v>
      </c>
      <c r="M764" s="5">
        <v>3.4</v>
      </c>
      <c r="N764" s="5" t="s">
        <v>65</v>
      </c>
      <c r="P764" s="7">
        <v>23858</v>
      </c>
      <c r="Q764" s="5">
        <v>1965</v>
      </c>
      <c r="T764" s="5" t="s">
        <v>797</v>
      </c>
      <c r="W764" s="5" t="s">
        <v>44</v>
      </c>
      <c r="AJ764" s="5" t="s">
        <v>879</v>
      </c>
    </row>
    <row r="765" spans="1:36" x14ac:dyDescent="0.25">
      <c r="A765" s="5" t="s">
        <v>61</v>
      </c>
      <c r="B765" s="5" t="s">
        <v>795</v>
      </c>
      <c r="C765" s="5" t="s">
        <v>1034</v>
      </c>
      <c r="D765" s="5" t="s">
        <v>1035</v>
      </c>
      <c r="E765" s="5">
        <v>52.972839</v>
      </c>
      <c r="F765" s="5">
        <v>-2.1962790000000001</v>
      </c>
      <c r="I765" s="6" t="s">
        <v>1036</v>
      </c>
      <c r="J765" s="6" t="s">
        <v>1037</v>
      </c>
      <c r="M765" s="5">
        <v>3.4</v>
      </c>
      <c r="N765" s="5" t="s">
        <v>808</v>
      </c>
      <c r="O765" s="5">
        <v>1000</v>
      </c>
      <c r="P765" s="7">
        <v>27590</v>
      </c>
      <c r="Q765" s="5">
        <v>1975</v>
      </c>
      <c r="R765" s="6"/>
      <c r="T765" s="5" t="s">
        <v>797</v>
      </c>
      <c r="U765" s="5" t="s">
        <v>343</v>
      </c>
      <c r="V765" s="5">
        <v>900</v>
      </c>
      <c r="W765" s="5" t="s">
        <v>44</v>
      </c>
      <c r="AA765" s="10"/>
      <c r="AI765" s="5" t="s">
        <v>1038</v>
      </c>
      <c r="AJ765" s="5" t="s">
        <v>1039</v>
      </c>
    </row>
    <row r="766" spans="1:36" x14ac:dyDescent="0.25">
      <c r="A766" s="14" t="s">
        <v>51</v>
      </c>
      <c r="B766" s="5" t="s">
        <v>795</v>
      </c>
      <c r="C766" s="5" t="s">
        <v>825</v>
      </c>
      <c r="D766" s="14" t="s">
        <v>1026</v>
      </c>
      <c r="E766" s="14">
        <v>39.542921</v>
      </c>
      <c r="F766" s="14">
        <v>-110.388705</v>
      </c>
      <c r="J766" s="6"/>
      <c r="M766" s="14">
        <v>3.4</v>
      </c>
      <c r="N766" s="5" t="s">
        <v>65</v>
      </c>
      <c r="O766" s="5">
        <v>1600</v>
      </c>
      <c r="P766" s="13">
        <v>29850</v>
      </c>
      <c r="Q766" s="14">
        <v>1981</v>
      </c>
      <c r="R766" s="14"/>
      <c r="S766" s="14"/>
      <c r="T766" s="14" t="s">
        <v>797</v>
      </c>
      <c r="W766" s="5" t="s">
        <v>44</v>
      </c>
      <c r="AJ766" s="5" t="s">
        <v>910</v>
      </c>
    </row>
    <row r="767" spans="1:36" x14ac:dyDescent="0.25">
      <c r="A767" s="5" t="s">
        <v>153</v>
      </c>
      <c r="B767" s="5" t="s">
        <v>795</v>
      </c>
      <c r="C767" s="5" t="s">
        <v>795</v>
      </c>
      <c r="D767" s="5" t="s">
        <v>1028</v>
      </c>
      <c r="E767" s="5">
        <v>25.868886</v>
      </c>
      <c r="F767" s="5">
        <v>113.10896200000001</v>
      </c>
      <c r="M767" s="5">
        <v>3.4</v>
      </c>
      <c r="N767" s="5" t="s">
        <v>65</v>
      </c>
      <c r="P767" s="7">
        <v>35866</v>
      </c>
      <c r="Q767" s="5">
        <v>1998</v>
      </c>
      <c r="T767" s="5" t="s">
        <v>1029</v>
      </c>
      <c r="W767" s="5" t="s">
        <v>44</v>
      </c>
      <c r="AJ767" s="5" t="s">
        <v>2672</v>
      </c>
    </row>
    <row r="768" spans="1:36" x14ac:dyDescent="0.25">
      <c r="A768" s="5" t="s">
        <v>153</v>
      </c>
      <c r="B768" s="5" t="s">
        <v>795</v>
      </c>
      <c r="C768" s="5" t="s">
        <v>795</v>
      </c>
      <c r="D768" s="5" t="s">
        <v>1030</v>
      </c>
      <c r="E768" s="5">
        <v>34.901000000000003</v>
      </c>
      <c r="F768" s="5">
        <v>116.809</v>
      </c>
      <c r="I768" s="5" t="s">
        <v>1031</v>
      </c>
      <c r="M768" s="5">
        <v>3.4</v>
      </c>
      <c r="N768" s="5" t="s">
        <v>65</v>
      </c>
      <c r="O768" s="5">
        <v>545</v>
      </c>
      <c r="P768" s="7">
        <v>37749</v>
      </c>
      <c r="Q768" s="5">
        <v>2003</v>
      </c>
      <c r="T768" s="5" t="s">
        <v>797</v>
      </c>
      <c r="W768" s="5" t="s">
        <v>44</v>
      </c>
      <c r="AJ768" s="5" t="s">
        <v>2680</v>
      </c>
    </row>
    <row r="769" spans="1:36" x14ac:dyDescent="0.25">
      <c r="A769" s="5" t="s">
        <v>550</v>
      </c>
      <c r="B769" s="5" t="s">
        <v>795</v>
      </c>
      <c r="C769" s="5" t="s">
        <v>795</v>
      </c>
      <c r="D769" s="5" t="s">
        <v>1225</v>
      </c>
      <c r="E769" s="5">
        <v>-33.458452000000001</v>
      </c>
      <c r="F769" s="5">
        <v>148.99565999999999</v>
      </c>
      <c r="M769" s="5">
        <v>3.4</v>
      </c>
      <c r="N769" s="5" t="s">
        <v>65</v>
      </c>
      <c r="O769" s="5">
        <v>0</v>
      </c>
      <c r="P769" s="7">
        <v>41323</v>
      </c>
      <c r="Q769" s="5">
        <v>2013</v>
      </c>
      <c r="T769" s="5" t="s">
        <v>809</v>
      </c>
      <c r="W769" s="5" t="s">
        <v>44</v>
      </c>
      <c r="AJ769" s="5" t="s">
        <v>1015</v>
      </c>
    </row>
    <row r="770" spans="1:36" x14ac:dyDescent="0.25">
      <c r="A770" s="5" t="s">
        <v>842</v>
      </c>
      <c r="B770" s="5" t="s">
        <v>795</v>
      </c>
      <c r="C770" s="5" t="s">
        <v>795</v>
      </c>
      <c r="D770" s="5" t="s">
        <v>2058</v>
      </c>
      <c r="E770" s="5">
        <v>49.966225000000001</v>
      </c>
      <c r="F770" s="5">
        <v>18.565301999999999</v>
      </c>
      <c r="M770" s="5">
        <v>3.4</v>
      </c>
      <c r="N770" s="5" t="s">
        <v>65</v>
      </c>
      <c r="P770" s="7">
        <v>43225</v>
      </c>
      <c r="Q770" s="5">
        <v>2018</v>
      </c>
      <c r="T770" s="5" t="s">
        <v>797</v>
      </c>
      <c r="W770" s="5" t="s">
        <v>44</v>
      </c>
    </row>
    <row r="771" spans="1:36" x14ac:dyDescent="0.25">
      <c r="A771" s="5" t="s">
        <v>153</v>
      </c>
      <c r="B771" s="5" t="s">
        <v>795</v>
      </c>
      <c r="C771" s="5" t="s">
        <v>795</v>
      </c>
      <c r="D771" s="5" t="s">
        <v>1032</v>
      </c>
      <c r="E771" s="5">
        <v>39.948</v>
      </c>
      <c r="F771" s="5">
        <v>116.07299999999999</v>
      </c>
      <c r="I771" s="5" t="s">
        <v>1033</v>
      </c>
      <c r="M771" s="5">
        <v>3.4</v>
      </c>
      <c r="N771" s="5" t="s">
        <v>65</v>
      </c>
      <c r="O771" s="5">
        <v>330</v>
      </c>
      <c r="P771" s="7">
        <v>27327</v>
      </c>
      <c r="Q771" s="5">
        <v>1974</v>
      </c>
      <c r="T771" s="5" t="s">
        <v>797</v>
      </c>
      <c r="W771" s="5" t="s">
        <v>44</v>
      </c>
      <c r="AJ771" s="5" t="s">
        <v>2680</v>
      </c>
    </row>
    <row r="772" spans="1:36" x14ac:dyDescent="0.25">
      <c r="A772" s="5" t="s">
        <v>51</v>
      </c>
      <c r="B772" s="5" t="s">
        <v>795</v>
      </c>
      <c r="C772" s="5" t="s">
        <v>795</v>
      </c>
      <c r="D772" s="5" t="s">
        <v>1046</v>
      </c>
      <c r="E772" s="5">
        <v>41.629027999999998</v>
      </c>
      <c r="F772" s="5">
        <v>-73.938779999999994</v>
      </c>
      <c r="G772" s="5" t="s">
        <v>1047</v>
      </c>
      <c r="L772" s="5" t="s">
        <v>1048</v>
      </c>
      <c r="M772" s="5">
        <v>3.3</v>
      </c>
      <c r="N772" s="5" t="s">
        <v>1049</v>
      </c>
      <c r="O772" s="5">
        <v>1000</v>
      </c>
      <c r="P772" s="7">
        <v>27187</v>
      </c>
      <c r="Q772" s="5">
        <v>1974</v>
      </c>
      <c r="T772" s="5" t="s">
        <v>116</v>
      </c>
      <c r="U772" s="5" t="s">
        <v>1050</v>
      </c>
      <c r="V772" s="5" t="s">
        <v>1051</v>
      </c>
      <c r="W772" s="5" t="s">
        <v>44</v>
      </c>
      <c r="AC772" s="5" t="s">
        <v>1052</v>
      </c>
      <c r="AD772" s="5" t="s">
        <v>1053</v>
      </c>
      <c r="AG772" s="5">
        <v>-1.5</v>
      </c>
      <c r="AJ772" s="5" t="s">
        <v>1054</v>
      </c>
    </row>
    <row r="773" spans="1:36" x14ac:dyDescent="0.25">
      <c r="A773" s="5" t="s">
        <v>51</v>
      </c>
      <c r="B773" s="5" t="s">
        <v>795</v>
      </c>
      <c r="C773" s="5" t="s">
        <v>831</v>
      </c>
      <c r="D773" s="5" t="s">
        <v>1058</v>
      </c>
      <c r="E773" s="5">
        <v>38.484347</v>
      </c>
      <c r="F773" s="5">
        <v>-109.68007900000001</v>
      </c>
      <c r="G773" s="5">
        <v>1970</v>
      </c>
      <c r="M773" s="5">
        <v>3.3</v>
      </c>
      <c r="N773" s="5" t="s">
        <v>65</v>
      </c>
      <c r="P773" s="7">
        <v>30703</v>
      </c>
      <c r="Q773" s="5">
        <v>1984</v>
      </c>
      <c r="T773" s="5" t="s">
        <v>802</v>
      </c>
      <c r="U773" s="5" t="s">
        <v>860</v>
      </c>
      <c r="V773" s="5">
        <v>1000</v>
      </c>
      <c r="W773" s="14" t="s">
        <v>44</v>
      </c>
      <c r="AJ773" s="5" t="s">
        <v>1059</v>
      </c>
    </row>
    <row r="774" spans="1:36" x14ac:dyDescent="0.25">
      <c r="A774" s="14" t="s">
        <v>51</v>
      </c>
      <c r="B774" s="5" t="s">
        <v>795</v>
      </c>
      <c r="C774" s="5" t="s">
        <v>795</v>
      </c>
      <c r="D774" s="14" t="s">
        <v>1040</v>
      </c>
      <c r="E774" s="14">
        <v>39.311658000000001</v>
      </c>
      <c r="F774" s="14">
        <v>-111.215333</v>
      </c>
      <c r="J774" s="6"/>
      <c r="M774" s="14">
        <v>3.3</v>
      </c>
      <c r="N774" s="5" t="s">
        <v>65</v>
      </c>
      <c r="O774" s="5">
        <v>500</v>
      </c>
      <c r="P774" s="13">
        <v>32127</v>
      </c>
      <c r="Q774" s="14">
        <v>1987</v>
      </c>
      <c r="R774" s="14"/>
      <c r="S774" s="14"/>
      <c r="T774" s="14" t="s">
        <v>797</v>
      </c>
      <c r="V774" s="5" t="s">
        <v>959</v>
      </c>
      <c r="W774" s="5" t="s">
        <v>44</v>
      </c>
      <c r="AJ774" s="5" t="s">
        <v>1041</v>
      </c>
    </row>
    <row r="775" spans="1:36" x14ac:dyDescent="0.25">
      <c r="A775" s="14" t="s">
        <v>164</v>
      </c>
      <c r="B775" s="5" t="s">
        <v>795</v>
      </c>
      <c r="C775" s="5" t="s">
        <v>1042</v>
      </c>
      <c r="D775" s="14" t="s">
        <v>1043</v>
      </c>
      <c r="E775" s="14">
        <v>49.365845999999998</v>
      </c>
      <c r="F775" s="14">
        <v>6.8429630000000001</v>
      </c>
      <c r="G775" s="5">
        <v>2004</v>
      </c>
      <c r="M775" s="14">
        <v>3.3</v>
      </c>
      <c r="N775" s="5" t="s">
        <v>65</v>
      </c>
      <c r="P775" s="13" t="s">
        <v>1044</v>
      </c>
      <c r="Q775" s="14">
        <v>2005</v>
      </c>
      <c r="R775" s="14"/>
      <c r="S775" s="14"/>
      <c r="T775" s="14"/>
      <c r="V775" s="5">
        <v>1400</v>
      </c>
      <c r="W775" s="5" t="s">
        <v>44</v>
      </c>
      <c r="AJ775" s="5" t="s">
        <v>1020</v>
      </c>
    </row>
    <row r="776" spans="1:36" x14ac:dyDescent="0.25">
      <c r="A776" s="14" t="s">
        <v>123</v>
      </c>
      <c r="B776" s="5" t="s">
        <v>795</v>
      </c>
      <c r="C776" s="5" t="s">
        <v>795</v>
      </c>
      <c r="D776" s="14" t="s">
        <v>1056</v>
      </c>
      <c r="E776" s="14">
        <v>46.567953000000003</v>
      </c>
      <c r="F776" s="14">
        <v>-80.856624999999994</v>
      </c>
      <c r="M776" s="14">
        <v>3.3</v>
      </c>
      <c r="N776" s="5" t="s">
        <v>933</v>
      </c>
      <c r="P776" s="13">
        <v>39787</v>
      </c>
      <c r="Q776" s="14">
        <v>2008</v>
      </c>
      <c r="R776" s="14"/>
      <c r="S776" s="14"/>
      <c r="W776" s="5" t="s">
        <v>44</v>
      </c>
      <c r="AJ776" s="14" t="s">
        <v>935</v>
      </c>
    </row>
    <row r="777" spans="1:36" x14ac:dyDescent="0.25">
      <c r="A777" s="5" t="s">
        <v>123</v>
      </c>
      <c r="B777" s="5" t="s">
        <v>795</v>
      </c>
      <c r="C777" s="5" t="s">
        <v>849</v>
      </c>
      <c r="D777" s="5" t="s">
        <v>1045</v>
      </c>
      <c r="E777" s="5">
        <v>51.049883999999999</v>
      </c>
      <c r="F777" s="5">
        <v>-93.733839000000003</v>
      </c>
      <c r="G777" s="5">
        <v>1949</v>
      </c>
      <c r="I777" s="5" t="s">
        <v>889</v>
      </c>
      <c r="M777" s="5">
        <v>3.3</v>
      </c>
      <c r="N777" s="5" t="s">
        <v>933</v>
      </c>
      <c r="W777" s="5" t="s">
        <v>44</v>
      </c>
      <c r="AJ777" s="5" t="s">
        <v>851</v>
      </c>
    </row>
    <row r="778" spans="1:36" x14ac:dyDescent="0.25">
      <c r="A778" s="5" t="s">
        <v>153</v>
      </c>
      <c r="B778" s="5" t="s">
        <v>795</v>
      </c>
      <c r="C778" s="5" t="s">
        <v>795</v>
      </c>
      <c r="D778" s="5" t="s">
        <v>1055</v>
      </c>
      <c r="E778" s="5">
        <v>35.221333999999999</v>
      </c>
      <c r="F778" s="5">
        <v>106.673913</v>
      </c>
      <c r="I778" s="5" t="s">
        <v>1004</v>
      </c>
      <c r="M778" s="5">
        <v>3.3</v>
      </c>
      <c r="N778" s="5" t="s">
        <v>65</v>
      </c>
      <c r="T778" s="5" t="s">
        <v>797</v>
      </c>
      <c r="W778" s="5" t="s">
        <v>44</v>
      </c>
      <c r="AJ778" s="5" t="s">
        <v>2672</v>
      </c>
    </row>
    <row r="779" spans="1:36" x14ac:dyDescent="0.25">
      <c r="A779" s="5" t="s">
        <v>842</v>
      </c>
      <c r="B779" s="5" t="s">
        <v>795</v>
      </c>
      <c r="C779" s="5" t="s">
        <v>795</v>
      </c>
      <c r="D779" s="5" t="s">
        <v>1057</v>
      </c>
      <c r="E779" s="5">
        <v>50.353709000000002</v>
      </c>
      <c r="F779" s="5">
        <v>18.893262</v>
      </c>
      <c r="M779" s="5">
        <v>3.3</v>
      </c>
      <c r="N779" s="5" t="s">
        <v>65</v>
      </c>
      <c r="T779" s="5" t="s">
        <v>797</v>
      </c>
      <c r="W779" s="14" t="s">
        <v>44</v>
      </c>
      <c r="AI779" s="5" t="s">
        <v>982</v>
      </c>
      <c r="AJ779" s="5" t="s">
        <v>980</v>
      </c>
    </row>
    <row r="780" spans="1:36" ht="15" customHeight="1" x14ac:dyDescent="0.25">
      <c r="A780" s="5" t="s">
        <v>61</v>
      </c>
      <c r="B780" s="5" t="s">
        <v>795</v>
      </c>
      <c r="C780" s="5" t="s">
        <v>795</v>
      </c>
      <c r="D780" s="5" t="s">
        <v>1062</v>
      </c>
      <c r="E780" s="5">
        <v>53.3</v>
      </c>
      <c r="F780" s="5">
        <v>-0.95</v>
      </c>
      <c r="I780" s="6"/>
      <c r="J780" s="6"/>
      <c r="M780" s="5">
        <v>3.2</v>
      </c>
      <c r="N780" s="5" t="s">
        <v>65</v>
      </c>
      <c r="P780" s="7">
        <v>30763</v>
      </c>
      <c r="Q780" s="5">
        <v>1984</v>
      </c>
      <c r="R780" s="6"/>
      <c r="T780" s="5" t="s">
        <v>797</v>
      </c>
      <c r="W780" s="5" t="s">
        <v>44</v>
      </c>
      <c r="AA780" s="10"/>
      <c r="AJ780" s="5" t="s">
        <v>1063</v>
      </c>
    </row>
    <row r="781" spans="1:36" ht="15" customHeight="1" x14ac:dyDescent="0.25">
      <c r="A781" s="5" t="s">
        <v>153</v>
      </c>
      <c r="B781" s="5" t="s">
        <v>795</v>
      </c>
      <c r="C781" s="5" t="s">
        <v>795</v>
      </c>
      <c r="D781" s="5" t="s">
        <v>1060</v>
      </c>
      <c r="E781" s="5">
        <v>27.272216</v>
      </c>
      <c r="F781" s="5">
        <v>111.679283</v>
      </c>
      <c r="I781" s="5" t="s">
        <v>165</v>
      </c>
      <c r="M781" s="5">
        <v>3.2</v>
      </c>
      <c r="N781" s="5" t="s">
        <v>65</v>
      </c>
      <c r="P781" s="7">
        <v>35677</v>
      </c>
      <c r="Q781" s="5">
        <v>1997</v>
      </c>
      <c r="T781" s="5" t="s">
        <v>797</v>
      </c>
      <c r="W781" s="5" t="s">
        <v>44</v>
      </c>
      <c r="AJ781" s="5" t="s">
        <v>2681</v>
      </c>
    </row>
    <row r="782" spans="1:36" x14ac:dyDescent="0.25">
      <c r="A782" s="5" t="s">
        <v>149</v>
      </c>
      <c r="B782" s="5" t="s">
        <v>795</v>
      </c>
      <c r="C782" s="5" t="s">
        <v>836</v>
      </c>
      <c r="D782" s="5" t="s">
        <v>1061</v>
      </c>
      <c r="E782" s="5">
        <v>60.158281000000002</v>
      </c>
      <c r="F782" s="5">
        <v>59.956041999999997</v>
      </c>
      <c r="M782" s="5">
        <v>3.2</v>
      </c>
      <c r="N782" s="5" t="s">
        <v>65</v>
      </c>
      <c r="P782" s="7">
        <v>38071</v>
      </c>
      <c r="Q782" s="5">
        <v>2004</v>
      </c>
      <c r="T782" s="5" t="s">
        <v>908</v>
      </c>
      <c r="W782" s="5" t="s">
        <v>44</v>
      </c>
      <c r="AJ782" s="5" t="s">
        <v>839</v>
      </c>
    </row>
    <row r="783" spans="1:36" x14ac:dyDescent="0.25">
      <c r="A783" s="5" t="s">
        <v>729</v>
      </c>
      <c r="B783" s="5" t="s">
        <v>795</v>
      </c>
      <c r="C783" s="5" t="s">
        <v>836</v>
      </c>
      <c r="D783" s="5" t="s">
        <v>2353</v>
      </c>
      <c r="E783" s="5">
        <v>60.076175999999997</v>
      </c>
      <c r="F783" s="5">
        <v>14.993523</v>
      </c>
      <c r="M783" s="5">
        <v>3.1</v>
      </c>
      <c r="N783" s="5" t="s">
        <v>65</v>
      </c>
      <c r="P783" s="7">
        <v>27271</v>
      </c>
      <c r="Q783" s="5">
        <v>1974</v>
      </c>
      <c r="T783" s="5" t="s">
        <v>1009</v>
      </c>
      <c r="W783" s="5" t="s">
        <v>44</v>
      </c>
      <c r="AJ783" s="5" t="s">
        <v>1065</v>
      </c>
    </row>
    <row r="784" spans="1:36" ht="15" customHeight="1" x14ac:dyDescent="0.25">
      <c r="A784" s="14" t="s">
        <v>164</v>
      </c>
      <c r="B784" s="5" t="s">
        <v>795</v>
      </c>
      <c r="C784" s="5" t="s">
        <v>795</v>
      </c>
      <c r="D784" s="14" t="s">
        <v>1066</v>
      </c>
      <c r="E784" s="14">
        <v>51.42</v>
      </c>
      <c r="F784" s="14">
        <v>10.66</v>
      </c>
      <c r="M784" s="14">
        <v>3.1</v>
      </c>
      <c r="N784" s="5" t="s">
        <v>40</v>
      </c>
      <c r="O784" s="5">
        <v>1000</v>
      </c>
      <c r="P784" s="13">
        <v>30499</v>
      </c>
      <c r="Q784" s="14">
        <v>1983</v>
      </c>
      <c r="R784" s="14"/>
      <c r="S784" s="14"/>
      <c r="T784" s="14" t="s">
        <v>871</v>
      </c>
      <c r="W784" s="5" t="s">
        <v>44</v>
      </c>
      <c r="AJ784" s="5" t="s">
        <v>926</v>
      </c>
    </row>
    <row r="785" spans="1:36" ht="15" customHeight="1" x14ac:dyDescent="0.25">
      <c r="A785" s="14" t="s">
        <v>51</v>
      </c>
      <c r="B785" s="5" t="s">
        <v>795</v>
      </c>
      <c r="C785" s="5" t="s">
        <v>825</v>
      </c>
      <c r="D785" s="14" t="s">
        <v>1064</v>
      </c>
      <c r="E785" s="14">
        <v>39.499831</v>
      </c>
      <c r="F785" s="14">
        <v>-111.076832</v>
      </c>
      <c r="J785" s="6"/>
      <c r="M785" s="14">
        <v>3.1</v>
      </c>
      <c r="N785" s="5" t="s">
        <v>65</v>
      </c>
      <c r="O785" s="5">
        <v>4300</v>
      </c>
      <c r="P785" s="13">
        <v>33275</v>
      </c>
      <c r="Q785" s="14">
        <v>1991</v>
      </c>
      <c r="R785" s="14"/>
      <c r="S785" s="14"/>
      <c r="T785" s="14" t="s">
        <v>797</v>
      </c>
      <c r="W785" s="5" t="s">
        <v>44</v>
      </c>
      <c r="AJ785" s="5" t="s">
        <v>910</v>
      </c>
    </row>
    <row r="786" spans="1:36" x14ac:dyDescent="0.25">
      <c r="A786" s="5" t="s">
        <v>153</v>
      </c>
      <c r="B786" s="5" t="s">
        <v>795</v>
      </c>
      <c r="C786" s="5" t="s">
        <v>795</v>
      </c>
      <c r="D786" s="5" t="s">
        <v>1075</v>
      </c>
      <c r="E786" s="5">
        <v>27.151</v>
      </c>
      <c r="F786" s="5">
        <v>106.732</v>
      </c>
      <c r="I786" s="5" t="s">
        <v>1076</v>
      </c>
      <c r="M786" s="5">
        <v>3.1</v>
      </c>
      <c r="N786" s="5" t="s">
        <v>65</v>
      </c>
      <c r="P786" s="7">
        <v>33334</v>
      </c>
      <c r="Q786" s="5">
        <v>1991</v>
      </c>
      <c r="T786" s="5" t="s">
        <v>797</v>
      </c>
      <c r="W786" s="5" t="s">
        <v>44</v>
      </c>
      <c r="AJ786" s="5" t="s">
        <v>2680</v>
      </c>
    </row>
    <row r="787" spans="1:36" x14ac:dyDescent="0.25">
      <c r="A787" s="5" t="s">
        <v>1067</v>
      </c>
      <c r="B787" s="5" t="s">
        <v>795</v>
      </c>
      <c r="C787" s="5" t="s">
        <v>831</v>
      </c>
      <c r="D787" s="5" t="s">
        <v>1068</v>
      </c>
      <c r="E787" s="5">
        <v>43.06</v>
      </c>
      <c r="F787" s="5">
        <v>27.45</v>
      </c>
      <c r="G787" s="6">
        <v>34486</v>
      </c>
      <c r="L787" s="5" t="s">
        <v>1069</v>
      </c>
      <c r="M787" s="5">
        <v>3.1</v>
      </c>
      <c r="N787" s="5" t="s">
        <v>326</v>
      </c>
      <c r="P787" s="7">
        <v>34505</v>
      </c>
      <c r="Q787" s="5">
        <v>1994</v>
      </c>
      <c r="R787" s="5">
        <v>4500</v>
      </c>
      <c r="S787" s="5">
        <v>8000</v>
      </c>
      <c r="T787" s="5" t="s">
        <v>802</v>
      </c>
      <c r="W787" s="5" t="s">
        <v>103</v>
      </c>
      <c r="AJ787" s="5" t="s">
        <v>1070</v>
      </c>
    </row>
    <row r="788" spans="1:36" x14ac:dyDescent="0.25">
      <c r="A788" s="5" t="s">
        <v>153</v>
      </c>
      <c r="B788" s="5" t="s">
        <v>795</v>
      </c>
      <c r="C788" s="5" t="s">
        <v>795</v>
      </c>
      <c r="D788" s="5" t="s">
        <v>1071</v>
      </c>
      <c r="E788" s="5">
        <v>27.896961000000001</v>
      </c>
      <c r="F788" s="5">
        <v>111.864985</v>
      </c>
      <c r="I788" s="5" t="s">
        <v>1072</v>
      </c>
      <c r="M788" s="5">
        <v>3.1</v>
      </c>
      <c r="N788" s="5" t="s">
        <v>65</v>
      </c>
      <c r="P788" s="7">
        <v>35152</v>
      </c>
      <c r="Q788" s="5">
        <v>1996</v>
      </c>
      <c r="T788" s="5" t="s">
        <v>797</v>
      </c>
      <c r="W788" s="5" t="s">
        <v>44</v>
      </c>
      <c r="AJ788" s="5" t="s">
        <v>2672</v>
      </c>
    </row>
    <row r="789" spans="1:36" x14ac:dyDescent="0.25">
      <c r="A789" s="5" t="s">
        <v>153</v>
      </c>
      <c r="B789" s="5" t="s">
        <v>795</v>
      </c>
      <c r="C789" s="5" t="s">
        <v>795</v>
      </c>
      <c r="D789" s="5" t="s">
        <v>1073</v>
      </c>
      <c r="E789" s="5">
        <v>25.372613999999999</v>
      </c>
      <c r="F789" s="5">
        <v>104.617994</v>
      </c>
      <c r="I789" s="5" t="s">
        <v>1074</v>
      </c>
      <c r="M789" s="5">
        <v>3.1</v>
      </c>
      <c r="N789" s="5" t="s">
        <v>65</v>
      </c>
      <c r="P789" s="7">
        <v>35769</v>
      </c>
      <c r="Q789" s="5">
        <v>1997</v>
      </c>
      <c r="T789" s="5" t="s">
        <v>797</v>
      </c>
      <c r="W789" s="5" t="s">
        <v>44</v>
      </c>
      <c r="AJ789" s="5" t="s">
        <v>2672</v>
      </c>
    </row>
    <row r="790" spans="1:36" x14ac:dyDescent="0.25">
      <c r="A790" s="5" t="s">
        <v>153</v>
      </c>
      <c r="B790" s="5" t="s">
        <v>795</v>
      </c>
      <c r="C790" s="5" t="s">
        <v>795</v>
      </c>
      <c r="D790" s="5" t="s">
        <v>1077</v>
      </c>
      <c r="E790" s="5">
        <v>25.943999999999999</v>
      </c>
      <c r="F790" s="5">
        <v>104.822</v>
      </c>
      <c r="I790" s="5" t="s">
        <v>1074</v>
      </c>
      <c r="M790" s="5">
        <v>3.1</v>
      </c>
      <c r="N790" s="5" t="s">
        <v>65</v>
      </c>
      <c r="P790" s="7">
        <v>35769</v>
      </c>
      <c r="Q790" s="5">
        <v>1997</v>
      </c>
      <c r="T790" s="5" t="s">
        <v>797</v>
      </c>
      <c r="W790" s="5" t="s">
        <v>44</v>
      </c>
      <c r="AJ790" s="5" t="s">
        <v>2680</v>
      </c>
    </row>
    <row r="791" spans="1:36" x14ac:dyDescent="0.25">
      <c r="A791" s="14" t="s">
        <v>123</v>
      </c>
      <c r="B791" s="5" t="s">
        <v>795</v>
      </c>
      <c r="C791" s="5" t="s">
        <v>795</v>
      </c>
      <c r="D791" s="14" t="s">
        <v>1078</v>
      </c>
      <c r="E791" s="14">
        <v>48.141885000000002</v>
      </c>
      <c r="F791" s="14">
        <v>-80.072000000000003</v>
      </c>
      <c r="I791" s="5" t="s">
        <v>1079</v>
      </c>
      <c r="J791" s="5" t="s">
        <v>1080</v>
      </c>
      <c r="L791" s="5" t="s">
        <v>1081</v>
      </c>
      <c r="M791" s="14">
        <v>3.1</v>
      </c>
      <c r="N791" s="5" t="s">
        <v>933</v>
      </c>
      <c r="P791" s="13">
        <v>39641</v>
      </c>
      <c r="Q791" s="14">
        <v>2008</v>
      </c>
      <c r="R791" s="14"/>
      <c r="S791" s="14"/>
      <c r="V791" s="5">
        <v>1500</v>
      </c>
      <c r="W791" s="5" t="s">
        <v>44</v>
      </c>
      <c r="AJ791" s="14" t="s">
        <v>935</v>
      </c>
    </row>
    <row r="792" spans="1:36" ht="15" customHeight="1" x14ac:dyDescent="0.25">
      <c r="A792" s="5" t="s">
        <v>153</v>
      </c>
      <c r="B792" s="5" t="s">
        <v>795</v>
      </c>
      <c r="C792" s="5" t="s">
        <v>795</v>
      </c>
      <c r="D792" s="5" t="s">
        <v>1125</v>
      </c>
      <c r="E792" s="5">
        <v>28.239000000000001</v>
      </c>
      <c r="F792" s="5">
        <v>112.366</v>
      </c>
      <c r="I792" s="5">
        <v>1953</v>
      </c>
      <c r="M792" s="5">
        <v>3.1</v>
      </c>
      <c r="N792" s="5" t="s">
        <v>65</v>
      </c>
      <c r="O792" s="5" t="s">
        <v>2682</v>
      </c>
      <c r="P792" s="7">
        <v>39893</v>
      </c>
      <c r="Q792" s="5">
        <v>2009</v>
      </c>
      <c r="T792" s="5" t="s">
        <v>797</v>
      </c>
      <c r="W792" s="5" t="s">
        <v>44</v>
      </c>
      <c r="AJ792" s="5" t="s">
        <v>2683</v>
      </c>
    </row>
    <row r="793" spans="1:36" ht="15" customHeight="1" x14ac:dyDescent="0.25">
      <c r="A793" s="5" t="s">
        <v>1082</v>
      </c>
      <c r="B793" s="5" t="s">
        <v>795</v>
      </c>
      <c r="C793" s="5" t="s">
        <v>1083</v>
      </c>
      <c r="D793" s="5" t="s">
        <v>1084</v>
      </c>
      <c r="E793" s="5">
        <v>12.941272</v>
      </c>
      <c r="F793" s="5">
        <v>78.257343000000006</v>
      </c>
      <c r="H793" s="5" t="s">
        <v>1085</v>
      </c>
      <c r="L793" s="5">
        <v>67</v>
      </c>
      <c r="M793" s="5">
        <v>3.09</v>
      </c>
      <c r="N793" s="5" t="s">
        <v>65</v>
      </c>
      <c r="O793" s="5">
        <v>1220</v>
      </c>
      <c r="T793" s="5" t="s">
        <v>809</v>
      </c>
      <c r="U793" s="5">
        <v>1220</v>
      </c>
      <c r="W793" s="5" t="s">
        <v>73</v>
      </c>
      <c r="AJ793" s="5" t="s">
        <v>1086</v>
      </c>
    </row>
    <row r="794" spans="1:36" ht="15" customHeight="1" x14ac:dyDescent="0.25">
      <c r="A794" s="5" t="s">
        <v>123</v>
      </c>
      <c r="B794" s="5" t="s">
        <v>795</v>
      </c>
      <c r="C794" s="5" t="s">
        <v>795</v>
      </c>
      <c r="D794" s="5" t="s">
        <v>1094</v>
      </c>
      <c r="E794" s="5">
        <v>52.092928999999998</v>
      </c>
      <c r="F794" s="5">
        <v>-106.855645</v>
      </c>
      <c r="L794" s="5">
        <v>79</v>
      </c>
      <c r="M794" s="5">
        <v>3</v>
      </c>
      <c r="N794" s="5" t="s">
        <v>808</v>
      </c>
      <c r="P794" s="7">
        <v>29280</v>
      </c>
      <c r="Q794" s="5">
        <v>1980</v>
      </c>
      <c r="T794" s="5" t="s">
        <v>802</v>
      </c>
      <c r="U794" s="5" t="s">
        <v>1095</v>
      </c>
      <c r="V794" s="5">
        <v>1000</v>
      </c>
      <c r="W794" s="5" t="s">
        <v>44</v>
      </c>
      <c r="AJ794" s="5" t="s">
        <v>1096</v>
      </c>
    </row>
    <row r="795" spans="1:36" ht="15" customHeight="1" x14ac:dyDescent="0.25">
      <c r="A795" s="14" t="s">
        <v>51</v>
      </c>
      <c r="B795" s="5" t="s">
        <v>795</v>
      </c>
      <c r="C795" s="5" t="s">
        <v>825</v>
      </c>
      <c r="D795" s="14" t="s">
        <v>1087</v>
      </c>
      <c r="E795" s="14">
        <v>39.357855000000001</v>
      </c>
      <c r="F795" s="14">
        <v>-111.111929</v>
      </c>
      <c r="J795" s="6"/>
      <c r="M795" s="14">
        <v>3</v>
      </c>
      <c r="N795" s="5" t="s">
        <v>65</v>
      </c>
      <c r="O795" s="5">
        <v>100</v>
      </c>
      <c r="P795" s="13">
        <v>30762</v>
      </c>
      <c r="Q795" s="14">
        <v>1984</v>
      </c>
      <c r="R795" s="14"/>
      <c r="S795" s="14"/>
      <c r="T795" s="14" t="s">
        <v>797</v>
      </c>
      <c r="W795" s="5" t="s">
        <v>44</v>
      </c>
      <c r="AJ795" s="5" t="s">
        <v>910</v>
      </c>
    </row>
    <row r="796" spans="1:36" x14ac:dyDescent="0.25">
      <c r="A796" s="14" t="s">
        <v>51</v>
      </c>
      <c r="B796" s="5" t="s">
        <v>795</v>
      </c>
      <c r="C796" s="5" t="s">
        <v>825</v>
      </c>
      <c r="D796" s="14" t="s">
        <v>1088</v>
      </c>
      <c r="E796" s="14">
        <v>39.728760000000001</v>
      </c>
      <c r="F796" s="14">
        <v>-110.864796</v>
      </c>
      <c r="J796" s="6"/>
      <c r="M796" s="14">
        <v>3</v>
      </c>
      <c r="N796" s="5" t="s">
        <v>65</v>
      </c>
      <c r="O796" s="5">
        <v>5600</v>
      </c>
      <c r="P796" s="13">
        <v>31715</v>
      </c>
      <c r="Q796" s="14">
        <v>1986</v>
      </c>
      <c r="R796" s="14"/>
      <c r="S796" s="14"/>
      <c r="T796" s="14" t="s">
        <v>797</v>
      </c>
      <c r="W796" s="5" t="s">
        <v>44</v>
      </c>
      <c r="AJ796" s="5" t="s">
        <v>910</v>
      </c>
    </row>
    <row r="797" spans="1:36" x14ac:dyDescent="0.25">
      <c r="A797" s="5" t="s">
        <v>51</v>
      </c>
      <c r="B797" s="5" t="s">
        <v>795</v>
      </c>
      <c r="C797" s="5" t="s">
        <v>795</v>
      </c>
      <c r="D797" s="5" t="s">
        <v>1100</v>
      </c>
      <c r="E797" s="5">
        <v>37.232373000000003</v>
      </c>
      <c r="F797" s="5">
        <v>-82.099559999999997</v>
      </c>
      <c r="M797" s="5">
        <v>3</v>
      </c>
      <c r="N797" s="5" t="s">
        <v>65</v>
      </c>
      <c r="P797" s="7">
        <v>31840</v>
      </c>
      <c r="Q797" s="5">
        <v>1987</v>
      </c>
      <c r="T797" s="5" t="s">
        <v>797</v>
      </c>
      <c r="W797" s="5" t="s">
        <v>44</v>
      </c>
      <c r="AJ797" s="5" t="s">
        <v>879</v>
      </c>
    </row>
    <row r="798" spans="1:36" x14ac:dyDescent="0.25">
      <c r="A798" s="5" t="s">
        <v>153</v>
      </c>
      <c r="B798" s="5" t="s">
        <v>795</v>
      </c>
      <c r="C798" s="5" t="s">
        <v>795</v>
      </c>
      <c r="D798" s="5" t="s">
        <v>1101</v>
      </c>
      <c r="E798" s="5">
        <v>27.32601</v>
      </c>
      <c r="F798" s="5">
        <v>110.83422299999999</v>
      </c>
      <c r="I798" s="5" t="s">
        <v>1102</v>
      </c>
      <c r="M798" s="5">
        <v>3</v>
      </c>
      <c r="N798" s="5" t="s">
        <v>65</v>
      </c>
      <c r="P798" s="7">
        <v>34658</v>
      </c>
      <c r="Q798" s="5">
        <v>1994</v>
      </c>
      <c r="T798" s="5" t="s">
        <v>797</v>
      </c>
      <c r="W798" s="5" t="s">
        <v>44</v>
      </c>
      <c r="AJ798" s="5" t="s">
        <v>2672</v>
      </c>
    </row>
    <row r="799" spans="1:36" x14ac:dyDescent="0.25">
      <c r="A799" s="14" t="s">
        <v>51</v>
      </c>
      <c r="B799" s="5" t="s">
        <v>795</v>
      </c>
      <c r="C799" s="5" t="s">
        <v>795</v>
      </c>
      <c r="D799" s="14" t="s">
        <v>1089</v>
      </c>
      <c r="E799" s="14">
        <v>39.625832000000003</v>
      </c>
      <c r="F799" s="14">
        <v>-111.240843</v>
      </c>
      <c r="J799" s="6"/>
      <c r="M799" s="14">
        <v>3</v>
      </c>
      <c r="N799" s="5" t="s">
        <v>65</v>
      </c>
      <c r="O799" s="5">
        <v>5500</v>
      </c>
      <c r="P799" s="13">
        <v>35218</v>
      </c>
      <c r="Q799" s="14">
        <v>1996</v>
      </c>
      <c r="R799" s="14"/>
      <c r="S799" s="14"/>
      <c r="T799" s="14" t="s">
        <v>797</v>
      </c>
      <c r="W799" s="5" t="s">
        <v>44</v>
      </c>
      <c r="AJ799" s="5" t="s">
        <v>910</v>
      </c>
    </row>
    <row r="800" spans="1:36" x14ac:dyDescent="0.25">
      <c r="A800" s="5" t="s">
        <v>153</v>
      </c>
      <c r="B800" s="5" t="s">
        <v>795</v>
      </c>
      <c r="C800" s="5" t="s">
        <v>795</v>
      </c>
      <c r="D800" s="5" t="s">
        <v>1103</v>
      </c>
      <c r="E800" s="5">
        <v>39.784999999999997</v>
      </c>
      <c r="F800" s="5">
        <v>115.91500000000001</v>
      </c>
      <c r="I800" s="5" t="s">
        <v>1104</v>
      </c>
      <c r="M800" s="5">
        <v>3</v>
      </c>
      <c r="N800" s="5" t="s">
        <v>65</v>
      </c>
      <c r="O800" s="5">
        <v>520</v>
      </c>
      <c r="P800" s="7">
        <v>35479</v>
      </c>
      <c r="Q800" s="5">
        <v>1997</v>
      </c>
      <c r="T800" s="5" t="s">
        <v>797</v>
      </c>
      <c r="W800" s="5" t="s">
        <v>44</v>
      </c>
      <c r="AI800" s="5" t="s">
        <v>2254</v>
      </c>
      <c r="AJ800" s="5" t="s">
        <v>2684</v>
      </c>
    </row>
    <row r="801" spans="1:36" x14ac:dyDescent="0.25">
      <c r="A801" s="5" t="s">
        <v>51</v>
      </c>
      <c r="B801" s="5" t="s">
        <v>795</v>
      </c>
      <c r="C801" s="5" t="s">
        <v>1090</v>
      </c>
      <c r="D801" s="5" t="s">
        <v>1091</v>
      </c>
      <c r="E801" s="5">
        <v>44.093640000000001</v>
      </c>
      <c r="F801" s="5">
        <v>-73.524608999999998</v>
      </c>
      <c r="G801" s="5">
        <v>1983</v>
      </c>
      <c r="H801" s="5">
        <v>1990</v>
      </c>
      <c r="M801" s="5">
        <v>3</v>
      </c>
      <c r="N801" s="5" t="s">
        <v>1092</v>
      </c>
      <c r="W801" s="5" t="s">
        <v>44</v>
      </c>
      <c r="AJ801" s="5" t="s">
        <v>1093</v>
      </c>
    </row>
    <row r="802" spans="1:36" x14ac:dyDescent="0.25">
      <c r="A802" s="5" t="s">
        <v>842</v>
      </c>
      <c r="B802" s="5" t="s">
        <v>795</v>
      </c>
      <c r="C802" s="5" t="s">
        <v>795</v>
      </c>
      <c r="D802" s="5" t="s">
        <v>1097</v>
      </c>
      <c r="E802" s="5">
        <v>51.555743999999997</v>
      </c>
      <c r="F802" s="5">
        <v>16.041367000000001</v>
      </c>
      <c r="M802" s="5">
        <v>3</v>
      </c>
      <c r="N802" s="5" t="s">
        <v>40</v>
      </c>
      <c r="T802" s="5" t="s">
        <v>844</v>
      </c>
      <c r="W802" s="5" t="s">
        <v>44</v>
      </c>
      <c r="AJ802" s="5" t="s">
        <v>1098</v>
      </c>
    </row>
    <row r="803" spans="1:36" ht="15" customHeight="1" x14ac:dyDescent="0.25">
      <c r="A803" s="5" t="s">
        <v>123</v>
      </c>
      <c r="B803" s="5" t="s">
        <v>795</v>
      </c>
      <c r="C803" s="5" t="s">
        <v>849</v>
      </c>
      <c r="D803" s="5" t="s">
        <v>1099</v>
      </c>
      <c r="E803" s="5">
        <v>46.511473000000002</v>
      </c>
      <c r="F803" s="5">
        <v>-82.643343999999999</v>
      </c>
      <c r="I803" s="5">
        <v>1982</v>
      </c>
      <c r="M803" s="5">
        <v>3</v>
      </c>
      <c r="T803" s="5" t="s">
        <v>1029</v>
      </c>
      <c r="W803" s="5" t="s">
        <v>44</v>
      </c>
      <c r="AJ803" s="5" t="s">
        <v>851</v>
      </c>
    </row>
    <row r="804" spans="1:36" x14ac:dyDescent="0.25">
      <c r="A804" s="5" t="s">
        <v>51</v>
      </c>
      <c r="B804" s="5" t="s">
        <v>795</v>
      </c>
      <c r="C804" s="5" t="s">
        <v>831</v>
      </c>
      <c r="D804" s="5" t="s">
        <v>1105</v>
      </c>
      <c r="E804" s="5">
        <v>41.494470999999997</v>
      </c>
      <c r="F804" s="5">
        <v>-81.715238999999997</v>
      </c>
      <c r="G804" s="5">
        <v>1889</v>
      </c>
      <c r="I804" s="5">
        <v>1898</v>
      </c>
      <c r="J804" s="5">
        <v>1907</v>
      </c>
      <c r="M804" s="5">
        <v>3</v>
      </c>
      <c r="N804" s="5" t="s">
        <v>65</v>
      </c>
      <c r="T804" s="5" t="s">
        <v>859</v>
      </c>
      <c r="W804" s="5" t="s">
        <v>44</v>
      </c>
      <c r="AJ804" s="5" t="s">
        <v>96</v>
      </c>
    </row>
    <row r="805" spans="1:36" x14ac:dyDescent="0.25">
      <c r="A805" s="5" t="s">
        <v>51</v>
      </c>
      <c r="B805" s="5" t="s">
        <v>795</v>
      </c>
      <c r="C805" s="5" t="s">
        <v>795</v>
      </c>
      <c r="D805" s="5" t="s">
        <v>1106</v>
      </c>
      <c r="E805" s="5">
        <v>47.478034000000001</v>
      </c>
      <c r="F805" s="5">
        <v>-115.966836</v>
      </c>
      <c r="M805" s="5">
        <v>3</v>
      </c>
      <c r="N805" s="5" t="s">
        <v>65</v>
      </c>
      <c r="T805" s="5" t="s">
        <v>1107</v>
      </c>
      <c r="V805" s="5" t="s">
        <v>1108</v>
      </c>
      <c r="W805" s="5" t="s">
        <v>44</v>
      </c>
      <c r="AI805" s="5" t="s">
        <v>1109</v>
      </c>
      <c r="AJ805" s="5" t="s">
        <v>1110</v>
      </c>
    </row>
    <row r="806" spans="1:36" x14ac:dyDescent="0.25">
      <c r="A806" s="5" t="s">
        <v>153</v>
      </c>
      <c r="B806" s="5" t="s">
        <v>795</v>
      </c>
      <c r="C806" s="5" t="s">
        <v>795</v>
      </c>
      <c r="D806" s="5" t="s">
        <v>1115</v>
      </c>
      <c r="E806" s="5">
        <v>27.791</v>
      </c>
      <c r="F806" s="5">
        <v>112.017</v>
      </c>
      <c r="I806" s="5">
        <v>1974</v>
      </c>
      <c r="M806" s="5">
        <v>2.9</v>
      </c>
      <c r="N806" s="5" t="s">
        <v>65</v>
      </c>
      <c r="P806" s="7">
        <v>27767</v>
      </c>
      <c r="Q806" s="5">
        <v>1976</v>
      </c>
      <c r="T806" s="5" t="s">
        <v>797</v>
      </c>
      <c r="W806" s="5" t="s">
        <v>44</v>
      </c>
      <c r="AJ806" s="5" t="s">
        <v>2680</v>
      </c>
    </row>
    <row r="807" spans="1:36" ht="15" customHeight="1" x14ac:dyDescent="0.25">
      <c r="A807" s="5" t="s">
        <v>51</v>
      </c>
      <c r="B807" s="5" t="s">
        <v>795</v>
      </c>
      <c r="C807" s="5" t="s">
        <v>795</v>
      </c>
      <c r="D807" s="5" t="s">
        <v>1111</v>
      </c>
      <c r="E807" s="5">
        <v>40.103051999999998</v>
      </c>
      <c r="F807" s="5">
        <v>-77.012328999999994</v>
      </c>
      <c r="I807" s="6">
        <v>39724</v>
      </c>
      <c r="J807" s="6"/>
      <c r="L807" s="5">
        <v>600</v>
      </c>
      <c r="M807" s="5">
        <v>2.9</v>
      </c>
      <c r="N807" s="5" t="s">
        <v>65</v>
      </c>
      <c r="P807" s="7">
        <v>39927</v>
      </c>
      <c r="Q807" s="5">
        <v>2009</v>
      </c>
      <c r="T807" s="5" t="s">
        <v>1009</v>
      </c>
      <c r="U807" s="5" t="s">
        <v>1112</v>
      </c>
      <c r="W807" s="5" t="s">
        <v>44</v>
      </c>
      <c r="AI807" s="5" t="s">
        <v>1113</v>
      </c>
      <c r="AJ807" s="5" t="s">
        <v>1114</v>
      </c>
    </row>
    <row r="808" spans="1:36" ht="15" customHeight="1" x14ac:dyDescent="0.25">
      <c r="A808" s="5" t="s">
        <v>153</v>
      </c>
      <c r="B808" s="5" t="s">
        <v>795</v>
      </c>
      <c r="C808" s="5" t="s">
        <v>795</v>
      </c>
      <c r="D808" s="5" t="s">
        <v>1116</v>
      </c>
      <c r="I808" s="5" t="s">
        <v>1117</v>
      </c>
      <c r="M808" s="5">
        <v>2.8</v>
      </c>
      <c r="N808" s="5" t="s">
        <v>65</v>
      </c>
      <c r="P808" s="7" t="s">
        <v>1117</v>
      </c>
      <c r="Q808" s="5">
        <v>1973</v>
      </c>
      <c r="T808" s="5" t="s">
        <v>797</v>
      </c>
      <c r="W808" s="5" t="s">
        <v>44</v>
      </c>
      <c r="AJ808" s="5" t="s">
        <v>2672</v>
      </c>
    </row>
    <row r="809" spans="1:36" ht="15" customHeight="1" x14ac:dyDescent="0.25">
      <c r="A809" s="5" t="s">
        <v>153</v>
      </c>
      <c r="B809" s="5" t="s">
        <v>795</v>
      </c>
      <c r="C809" s="5" t="s">
        <v>795</v>
      </c>
      <c r="D809" s="5" t="s">
        <v>2685</v>
      </c>
      <c r="E809" s="5">
        <v>41.837000000000003</v>
      </c>
      <c r="F809" s="5">
        <v>123.845</v>
      </c>
      <c r="I809" s="5" t="s">
        <v>1122</v>
      </c>
      <c r="M809" s="5">
        <v>2.8</v>
      </c>
      <c r="N809" s="5" t="s">
        <v>65</v>
      </c>
      <c r="O809" s="5">
        <v>300</v>
      </c>
      <c r="P809" s="7">
        <v>28754</v>
      </c>
      <c r="Q809" s="5">
        <v>1978</v>
      </c>
      <c r="T809" s="5" t="s">
        <v>797</v>
      </c>
      <c r="W809" s="5" t="s">
        <v>44</v>
      </c>
      <c r="AJ809" s="5" t="s">
        <v>1007</v>
      </c>
    </row>
    <row r="810" spans="1:36" ht="15" customHeight="1" x14ac:dyDescent="0.25">
      <c r="A810" s="5" t="s">
        <v>153</v>
      </c>
      <c r="B810" s="5" t="s">
        <v>795</v>
      </c>
      <c r="C810" s="5" t="s">
        <v>795</v>
      </c>
      <c r="D810" s="5" t="s">
        <v>1123</v>
      </c>
      <c r="E810" s="5">
        <v>26.710999999999999</v>
      </c>
      <c r="F810" s="5">
        <v>104.80200000000001</v>
      </c>
      <c r="I810" s="5" t="s">
        <v>1124</v>
      </c>
      <c r="M810" s="5">
        <v>2.8</v>
      </c>
      <c r="N810" s="5" t="s">
        <v>65</v>
      </c>
      <c r="P810" s="7">
        <v>31237</v>
      </c>
      <c r="Q810" s="5">
        <v>1985</v>
      </c>
      <c r="T810" s="5" t="s">
        <v>797</v>
      </c>
      <c r="W810" s="5" t="s">
        <v>44</v>
      </c>
      <c r="AJ810" s="5" t="s">
        <v>2680</v>
      </c>
    </row>
    <row r="811" spans="1:36" ht="15" customHeight="1" x14ac:dyDescent="0.25">
      <c r="A811" s="5" t="s">
        <v>61</v>
      </c>
      <c r="B811" s="5" t="s">
        <v>795</v>
      </c>
      <c r="C811" s="5" t="s">
        <v>795</v>
      </c>
      <c r="D811" s="5" t="s">
        <v>1126</v>
      </c>
      <c r="E811" s="5">
        <v>55.850999999999999</v>
      </c>
      <c r="F811" s="5">
        <v>-3.129</v>
      </c>
      <c r="I811" s="6"/>
      <c r="J811" s="6"/>
      <c r="M811" s="5">
        <v>2.8</v>
      </c>
      <c r="N811" s="5" t="s">
        <v>65</v>
      </c>
      <c r="P811" s="7">
        <v>31694</v>
      </c>
      <c r="Q811" s="5">
        <v>1986</v>
      </c>
      <c r="R811" s="6"/>
      <c r="T811" s="5" t="s">
        <v>797</v>
      </c>
      <c r="U811" s="5" t="s">
        <v>1127</v>
      </c>
      <c r="W811" s="5" t="s">
        <v>44</v>
      </c>
      <c r="AA811" s="10"/>
      <c r="AI811" s="5" t="s">
        <v>1128</v>
      </c>
      <c r="AJ811" s="5" t="s">
        <v>1129</v>
      </c>
    </row>
    <row r="812" spans="1:36" ht="15" customHeight="1" x14ac:dyDescent="0.25">
      <c r="A812" s="5" t="s">
        <v>153</v>
      </c>
      <c r="B812" s="5" t="s">
        <v>795</v>
      </c>
      <c r="C812" s="5" t="s">
        <v>795</v>
      </c>
      <c r="D812" s="5" t="s">
        <v>1118</v>
      </c>
      <c r="E812" s="5">
        <v>27.691707000000001</v>
      </c>
      <c r="F812" s="5">
        <v>112.438849</v>
      </c>
      <c r="I812" s="5" t="s">
        <v>1119</v>
      </c>
      <c r="M812" s="5">
        <v>2.8</v>
      </c>
      <c r="N812" s="5" t="s">
        <v>65</v>
      </c>
      <c r="P812" s="7">
        <v>37638</v>
      </c>
      <c r="Q812" s="5">
        <v>2003</v>
      </c>
      <c r="T812" s="5" t="s">
        <v>1005</v>
      </c>
      <c r="W812" s="5" t="s">
        <v>44</v>
      </c>
      <c r="AJ812" s="5" t="s">
        <v>2672</v>
      </c>
    </row>
    <row r="813" spans="1:36" ht="15" customHeight="1" x14ac:dyDescent="0.25">
      <c r="A813" s="5" t="s">
        <v>153</v>
      </c>
      <c r="B813" s="5" t="s">
        <v>795</v>
      </c>
      <c r="C813" s="5" t="s">
        <v>795</v>
      </c>
      <c r="D813" s="5" t="s">
        <v>1120</v>
      </c>
      <c r="E813" s="5">
        <v>41.310848999999997</v>
      </c>
      <c r="F813" s="5">
        <v>123.733431</v>
      </c>
      <c r="I813" s="5" t="s">
        <v>1121</v>
      </c>
      <c r="M813" s="5">
        <v>2.8</v>
      </c>
      <c r="N813" s="5" t="s">
        <v>65</v>
      </c>
      <c r="P813" s="7">
        <v>38090</v>
      </c>
      <c r="Q813" s="5">
        <v>2004</v>
      </c>
      <c r="T813" s="5" t="s">
        <v>797</v>
      </c>
      <c r="W813" s="5" t="s">
        <v>44</v>
      </c>
      <c r="AJ813" s="5" t="s">
        <v>2672</v>
      </c>
    </row>
    <row r="814" spans="1:36" ht="15" customHeight="1" x14ac:dyDescent="0.25">
      <c r="A814" s="5" t="s">
        <v>153</v>
      </c>
      <c r="B814" s="5" t="s">
        <v>795</v>
      </c>
      <c r="C814" s="5" t="s">
        <v>795</v>
      </c>
      <c r="D814" s="5" t="s">
        <v>1130</v>
      </c>
      <c r="E814" s="5">
        <v>40.000078999999999</v>
      </c>
      <c r="F814" s="5">
        <v>113.055661</v>
      </c>
      <c r="M814" s="5">
        <v>2.7</v>
      </c>
      <c r="N814" s="5" t="s">
        <v>65</v>
      </c>
      <c r="P814" s="7" t="s">
        <v>1131</v>
      </c>
      <c r="Q814" s="5">
        <v>1983</v>
      </c>
      <c r="T814" s="5" t="s">
        <v>797</v>
      </c>
      <c r="W814" s="5" t="s">
        <v>44</v>
      </c>
      <c r="AJ814" s="5" t="s">
        <v>2672</v>
      </c>
    </row>
    <row r="815" spans="1:36" ht="15" customHeight="1" x14ac:dyDescent="0.25">
      <c r="A815" s="5" t="s">
        <v>153</v>
      </c>
      <c r="B815" s="5" t="s">
        <v>795</v>
      </c>
      <c r="C815" s="5" t="s">
        <v>795</v>
      </c>
      <c r="D815" s="5" t="s">
        <v>1132</v>
      </c>
      <c r="I815" s="5" t="s">
        <v>1002</v>
      </c>
      <c r="M815" s="5">
        <v>2.7</v>
      </c>
      <c r="N815" s="5" t="s">
        <v>65</v>
      </c>
      <c r="P815" s="7">
        <v>31068</v>
      </c>
      <c r="Q815" s="5">
        <v>1985</v>
      </c>
      <c r="T815" s="5" t="s">
        <v>797</v>
      </c>
      <c r="W815" s="5" t="s">
        <v>44</v>
      </c>
      <c r="AJ815" s="5" t="s">
        <v>2672</v>
      </c>
    </row>
    <row r="816" spans="1:36" ht="15" customHeight="1" x14ac:dyDescent="0.25">
      <c r="A816" s="5" t="s">
        <v>153</v>
      </c>
      <c r="B816" s="5" t="s">
        <v>795</v>
      </c>
      <c r="C816" s="5" t="s">
        <v>795</v>
      </c>
      <c r="D816" s="5" t="s">
        <v>1133</v>
      </c>
      <c r="E816" s="5">
        <v>26.203522</v>
      </c>
      <c r="F816" s="5">
        <v>105.460487</v>
      </c>
      <c r="I816" s="5" t="s">
        <v>1002</v>
      </c>
      <c r="M816" s="5">
        <v>2.7</v>
      </c>
      <c r="N816" s="5" t="s">
        <v>65</v>
      </c>
      <c r="P816" s="7">
        <v>31068</v>
      </c>
      <c r="Q816" s="5">
        <v>1985</v>
      </c>
      <c r="T816" s="5" t="s">
        <v>797</v>
      </c>
      <c r="W816" s="5" t="s">
        <v>44</v>
      </c>
      <c r="AJ816" s="5" t="s">
        <v>2672</v>
      </c>
    </row>
    <row r="817" spans="1:36" ht="15" customHeight="1" x14ac:dyDescent="0.25">
      <c r="A817" s="5" t="s">
        <v>153</v>
      </c>
      <c r="B817" s="5" t="s">
        <v>795</v>
      </c>
      <c r="C817" s="5" t="s">
        <v>795</v>
      </c>
      <c r="D817" s="5" t="s">
        <v>1134</v>
      </c>
      <c r="E817" s="5">
        <v>26.187849</v>
      </c>
      <c r="F817" s="5">
        <v>105.54796899999999</v>
      </c>
      <c r="I817" s="5" t="s">
        <v>1002</v>
      </c>
      <c r="M817" s="5">
        <v>2.7</v>
      </c>
      <c r="N817" s="5" t="s">
        <v>65</v>
      </c>
      <c r="P817" s="7">
        <v>31068</v>
      </c>
      <c r="Q817" s="5">
        <v>1985</v>
      </c>
      <c r="T817" s="5" t="s">
        <v>797</v>
      </c>
      <c r="W817" s="5" t="s">
        <v>44</v>
      </c>
      <c r="AJ817" s="5" t="s">
        <v>2672</v>
      </c>
    </row>
    <row r="818" spans="1:36" x14ac:dyDescent="0.25">
      <c r="A818" s="5" t="s">
        <v>123</v>
      </c>
      <c r="B818" s="5" t="s">
        <v>795</v>
      </c>
      <c r="C818" s="5" t="s">
        <v>795</v>
      </c>
      <c r="D818" s="5" t="s">
        <v>1136</v>
      </c>
      <c r="E818" s="5">
        <v>46.633387999999997</v>
      </c>
      <c r="F818" s="5">
        <v>-81.384827000000001</v>
      </c>
      <c r="I818" s="5" t="s">
        <v>1137</v>
      </c>
      <c r="L818" s="5">
        <v>7</v>
      </c>
      <c r="M818" s="5">
        <v>2.7</v>
      </c>
      <c r="N818" s="5" t="s">
        <v>1138</v>
      </c>
      <c r="O818" s="5">
        <v>678</v>
      </c>
      <c r="P818" s="7">
        <v>32313</v>
      </c>
      <c r="Q818" s="5">
        <v>1988</v>
      </c>
      <c r="U818" s="5" t="s">
        <v>1139</v>
      </c>
      <c r="W818" s="5" t="s">
        <v>44</v>
      </c>
      <c r="AJ818" s="5" t="s">
        <v>1140</v>
      </c>
    </row>
    <row r="819" spans="1:36" x14ac:dyDescent="0.25">
      <c r="A819" s="5" t="s">
        <v>153</v>
      </c>
      <c r="B819" s="5" t="s">
        <v>795</v>
      </c>
      <c r="C819" s="5" t="s">
        <v>795</v>
      </c>
      <c r="D819" s="5" t="s">
        <v>1135</v>
      </c>
      <c r="E819" s="5">
        <v>25.779</v>
      </c>
      <c r="F819" s="5">
        <v>112.828</v>
      </c>
      <c r="I819" s="5" t="s">
        <v>165</v>
      </c>
      <c r="M819" s="5">
        <v>2.7</v>
      </c>
      <c r="N819" s="5" t="s">
        <v>65</v>
      </c>
      <c r="P819" s="7">
        <v>35768</v>
      </c>
      <c r="Q819" s="5">
        <v>1997</v>
      </c>
      <c r="T819" s="5" t="s">
        <v>797</v>
      </c>
      <c r="W819" s="5" t="s">
        <v>44</v>
      </c>
      <c r="AJ819" s="5" t="s">
        <v>2680</v>
      </c>
    </row>
    <row r="820" spans="1:36" x14ac:dyDescent="0.25">
      <c r="A820" s="5" t="s">
        <v>153</v>
      </c>
      <c r="B820" s="5" t="s">
        <v>795</v>
      </c>
      <c r="C820" s="5" t="s">
        <v>795</v>
      </c>
      <c r="D820" s="5" t="s">
        <v>1148</v>
      </c>
      <c r="E820" s="5">
        <v>27.690588999999999</v>
      </c>
      <c r="F820" s="5">
        <v>111.839833</v>
      </c>
      <c r="I820" s="5">
        <v>1980</v>
      </c>
      <c r="M820" s="5">
        <v>2.7</v>
      </c>
      <c r="N820" s="5" t="s">
        <v>65</v>
      </c>
      <c r="P820" s="7">
        <v>39863</v>
      </c>
      <c r="Q820" s="5">
        <v>2009</v>
      </c>
      <c r="T820" s="5" t="s">
        <v>797</v>
      </c>
      <c r="W820" s="5" t="s">
        <v>44</v>
      </c>
      <c r="AJ820" s="5" t="s">
        <v>2686</v>
      </c>
    </row>
    <row r="821" spans="1:36" x14ac:dyDescent="0.25">
      <c r="A821" s="5" t="s">
        <v>153</v>
      </c>
      <c r="B821" s="5" t="s">
        <v>795</v>
      </c>
      <c r="C821" s="5" t="s">
        <v>795</v>
      </c>
      <c r="D821" s="5" t="s">
        <v>1141</v>
      </c>
      <c r="I821" s="5" t="s">
        <v>341</v>
      </c>
      <c r="M821" s="5">
        <v>2.6</v>
      </c>
      <c r="N821" s="5" t="s">
        <v>65</v>
      </c>
      <c r="P821" s="7">
        <v>35247</v>
      </c>
      <c r="Q821" s="5">
        <v>1996</v>
      </c>
      <c r="T821" s="5" t="s">
        <v>1142</v>
      </c>
      <c r="W821" s="5" t="s">
        <v>44</v>
      </c>
      <c r="AJ821" s="5" t="s">
        <v>2672</v>
      </c>
    </row>
    <row r="822" spans="1:36" x14ac:dyDescent="0.25">
      <c r="A822" s="5" t="s">
        <v>172</v>
      </c>
      <c r="B822" s="5" t="s">
        <v>795</v>
      </c>
      <c r="C822" s="5" t="s">
        <v>825</v>
      </c>
      <c r="D822" s="5" t="s">
        <v>2059</v>
      </c>
      <c r="E822" s="5">
        <v>43.252837</v>
      </c>
      <c r="F822" s="5">
        <v>-5.8179350000000003</v>
      </c>
      <c r="I822" s="6"/>
      <c r="J822" s="6"/>
      <c r="L822" s="5">
        <v>300</v>
      </c>
      <c r="M822" s="5">
        <v>2.6</v>
      </c>
      <c r="N822" s="5" t="s">
        <v>808</v>
      </c>
      <c r="P822" s="7">
        <v>36941</v>
      </c>
      <c r="Q822" s="5">
        <v>2001</v>
      </c>
      <c r="T822" s="5" t="s">
        <v>797</v>
      </c>
      <c r="W822" s="5" t="s">
        <v>44</v>
      </c>
      <c r="AJ822" s="5" t="s">
        <v>2060</v>
      </c>
    </row>
    <row r="823" spans="1:36" x14ac:dyDescent="0.25">
      <c r="A823" s="5" t="s">
        <v>729</v>
      </c>
      <c r="B823" s="5" t="s">
        <v>795</v>
      </c>
      <c r="C823" s="5" t="s">
        <v>795</v>
      </c>
      <c r="D823" s="5" t="s">
        <v>1143</v>
      </c>
      <c r="E823" s="5">
        <v>58.812652999999997</v>
      </c>
      <c r="F823" s="5">
        <v>15.109723000000001</v>
      </c>
      <c r="G823" s="5">
        <v>1857</v>
      </c>
      <c r="I823" s="6">
        <v>35378</v>
      </c>
      <c r="J823" s="6">
        <v>38103</v>
      </c>
      <c r="L823" s="5" t="s">
        <v>2454</v>
      </c>
      <c r="M823" s="5">
        <v>2.6</v>
      </c>
      <c r="N823" s="5" t="s">
        <v>40</v>
      </c>
      <c r="T823" s="5" t="s">
        <v>1144</v>
      </c>
      <c r="V823" s="5" t="s">
        <v>1145</v>
      </c>
      <c r="W823" s="5" t="s">
        <v>44</v>
      </c>
      <c r="AJ823" s="5" t="s">
        <v>1146</v>
      </c>
    </row>
    <row r="824" spans="1:36" x14ac:dyDescent="0.25">
      <c r="A824" s="5" t="s">
        <v>153</v>
      </c>
      <c r="B824" s="5" t="s">
        <v>795</v>
      </c>
      <c r="C824" s="5" t="s">
        <v>795</v>
      </c>
      <c r="D824" s="5" t="s">
        <v>2687</v>
      </c>
      <c r="I824" s="6"/>
      <c r="J824" s="6"/>
      <c r="M824" s="5">
        <v>2.6</v>
      </c>
      <c r="N824" s="5" t="s">
        <v>65</v>
      </c>
      <c r="P824" s="7">
        <v>39743</v>
      </c>
      <c r="Q824" s="5">
        <v>2008</v>
      </c>
      <c r="W824" s="5" t="s">
        <v>44</v>
      </c>
      <c r="AJ824" s="5" t="s">
        <v>2688</v>
      </c>
    </row>
    <row r="825" spans="1:36" ht="15" customHeight="1" x14ac:dyDescent="0.25">
      <c r="A825" s="5" t="s">
        <v>51</v>
      </c>
      <c r="B825" s="5" t="s">
        <v>795</v>
      </c>
      <c r="C825" s="5" t="s">
        <v>2455</v>
      </c>
      <c r="D825" s="5" t="s">
        <v>2456</v>
      </c>
      <c r="E825" s="5">
        <v>40.525241999999999</v>
      </c>
      <c r="F825" s="5">
        <v>-112.147913</v>
      </c>
      <c r="G825" s="5">
        <v>1906</v>
      </c>
      <c r="I825" s="6">
        <v>41374</v>
      </c>
      <c r="J825" s="6"/>
      <c r="L825" s="5" t="s">
        <v>2457</v>
      </c>
      <c r="M825" s="5">
        <v>2.5</v>
      </c>
      <c r="N825" s="5" t="s">
        <v>65</v>
      </c>
      <c r="O825" s="5" t="s">
        <v>175</v>
      </c>
      <c r="P825" s="7">
        <v>41374</v>
      </c>
      <c r="Q825" s="5">
        <v>2013</v>
      </c>
      <c r="T825" s="5" t="s">
        <v>844</v>
      </c>
      <c r="U825" s="5" t="s">
        <v>175</v>
      </c>
      <c r="V825" s="5" t="s">
        <v>2458</v>
      </c>
      <c r="W825" s="5" t="s">
        <v>44</v>
      </c>
      <c r="AJ825" s="5" t="s">
        <v>2459</v>
      </c>
    </row>
    <row r="826" spans="1:36" x14ac:dyDescent="0.25">
      <c r="A826" s="5" t="s">
        <v>153</v>
      </c>
      <c r="B826" s="5" t="s">
        <v>795</v>
      </c>
      <c r="C826" s="5" t="s">
        <v>795</v>
      </c>
      <c r="D826" s="5" t="s">
        <v>1147</v>
      </c>
      <c r="E826" s="5">
        <v>41.848675</v>
      </c>
      <c r="F826" s="5">
        <v>124.00355500000001</v>
      </c>
      <c r="I826" s="5" t="s">
        <v>1036</v>
      </c>
      <c r="M826" s="5">
        <v>2.5</v>
      </c>
      <c r="N826" s="5" t="s">
        <v>65</v>
      </c>
      <c r="O826" s="5">
        <v>300</v>
      </c>
      <c r="P826" s="7">
        <v>29633</v>
      </c>
      <c r="Q826" s="5">
        <v>1981</v>
      </c>
      <c r="T826" s="5" t="s">
        <v>797</v>
      </c>
      <c r="W826" s="5" t="s">
        <v>44</v>
      </c>
      <c r="AJ826" s="5" t="s">
        <v>2672</v>
      </c>
    </row>
    <row r="827" spans="1:36" x14ac:dyDescent="0.25">
      <c r="A827" s="5" t="s">
        <v>153</v>
      </c>
      <c r="B827" s="5" t="s">
        <v>795</v>
      </c>
      <c r="C827" s="5" t="s">
        <v>795</v>
      </c>
      <c r="D827" s="5" t="s">
        <v>1149</v>
      </c>
      <c r="E827" s="5">
        <v>31.094999999999999</v>
      </c>
      <c r="F827" s="5">
        <v>110.76</v>
      </c>
      <c r="I827" s="5">
        <v>1987</v>
      </c>
      <c r="M827" s="5">
        <v>2.5</v>
      </c>
      <c r="N827" s="5" t="s">
        <v>65</v>
      </c>
      <c r="P827" s="7">
        <v>32277</v>
      </c>
      <c r="Q827" s="5">
        <v>1988</v>
      </c>
      <c r="T827" s="5" t="s">
        <v>797</v>
      </c>
      <c r="W827" s="5" t="s">
        <v>44</v>
      </c>
      <c r="AJ827" s="5" t="s">
        <v>2680</v>
      </c>
    </row>
    <row r="828" spans="1:36" x14ac:dyDescent="0.25">
      <c r="A828" s="5" t="s">
        <v>189</v>
      </c>
      <c r="B828" s="5" t="s">
        <v>795</v>
      </c>
      <c r="C828" s="5" t="s">
        <v>1090</v>
      </c>
      <c r="D828" s="5" t="s">
        <v>1150</v>
      </c>
      <c r="E828" s="5">
        <v>43.451487999999998</v>
      </c>
      <c r="F828" s="5">
        <v>5.4713279999999997</v>
      </c>
      <c r="M828" s="5">
        <v>2.5</v>
      </c>
      <c r="P828" s="7" t="s">
        <v>1151</v>
      </c>
      <c r="Q828" s="5">
        <v>2005</v>
      </c>
      <c r="W828" s="5" t="s">
        <v>44</v>
      </c>
      <c r="AI828" s="5" t="s">
        <v>1152</v>
      </c>
      <c r="AJ828" s="5" t="s">
        <v>1153</v>
      </c>
    </row>
    <row r="829" spans="1:36" x14ac:dyDescent="0.25">
      <c r="A829" s="5" t="s">
        <v>153</v>
      </c>
      <c r="B829" s="5" t="s">
        <v>795</v>
      </c>
      <c r="C829" s="5" t="s">
        <v>795</v>
      </c>
      <c r="D829" s="5" t="s">
        <v>1305</v>
      </c>
      <c r="E829" s="5">
        <v>35.865000000000002</v>
      </c>
      <c r="F829" s="5">
        <v>117.149</v>
      </c>
      <c r="I829" s="5" t="s">
        <v>1306</v>
      </c>
      <c r="M829" s="5">
        <v>2.5</v>
      </c>
      <c r="N829" s="5" t="s">
        <v>65</v>
      </c>
      <c r="O829" s="5">
        <v>710</v>
      </c>
      <c r="T829" s="5" t="s">
        <v>797</v>
      </c>
      <c r="W829" s="5" t="s">
        <v>44</v>
      </c>
      <c r="AJ829" s="5" t="s">
        <v>2680</v>
      </c>
    </row>
    <row r="830" spans="1:36" ht="15" customHeight="1" x14ac:dyDescent="0.25">
      <c r="A830" s="5" t="s">
        <v>172</v>
      </c>
      <c r="B830" s="5" t="s">
        <v>795</v>
      </c>
      <c r="C830" s="5" t="s">
        <v>825</v>
      </c>
      <c r="D830" s="5" t="s">
        <v>2354</v>
      </c>
      <c r="E830" s="5">
        <v>37.617009000000003</v>
      </c>
      <c r="F830" s="5">
        <v>-0.88827999999999996</v>
      </c>
      <c r="M830" s="5">
        <v>2.4</v>
      </c>
      <c r="N830" s="5" t="s">
        <v>40</v>
      </c>
      <c r="O830" s="5">
        <v>2600</v>
      </c>
      <c r="P830" s="7">
        <v>35917</v>
      </c>
      <c r="Q830" s="5">
        <v>1998</v>
      </c>
      <c r="T830" s="5" t="s">
        <v>1154</v>
      </c>
      <c r="V830" s="5" t="s">
        <v>1155</v>
      </c>
      <c r="W830" s="5" t="s">
        <v>90</v>
      </c>
      <c r="AI830" s="5" t="s">
        <v>1156</v>
      </c>
      <c r="AJ830" s="5" t="s">
        <v>866</v>
      </c>
    </row>
    <row r="831" spans="1:36" x14ac:dyDescent="0.25">
      <c r="A831" s="5" t="s">
        <v>561</v>
      </c>
      <c r="B831" s="5" t="s">
        <v>795</v>
      </c>
      <c r="C831" s="5" t="s">
        <v>1042</v>
      </c>
      <c r="D831" s="5" t="s">
        <v>1157</v>
      </c>
      <c r="E831" s="5">
        <v>46.539586999999997</v>
      </c>
      <c r="F831" s="5">
        <v>8.8017850000000006</v>
      </c>
      <c r="I831" s="5" t="s">
        <v>1158</v>
      </c>
      <c r="J831" s="5" t="s">
        <v>1159</v>
      </c>
      <c r="L831" s="5">
        <v>112</v>
      </c>
      <c r="M831" s="5">
        <v>2.4</v>
      </c>
      <c r="N831" s="5" t="s">
        <v>65</v>
      </c>
      <c r="O831" s="5" t="s">
        <v>343</v>
      </c>
      <c r="P831" s="7">
        <v>38801</v>
      </c>
      <c r="Q831" s="5">
        <v>2006</v>
      </c>
      <c r="S831" s="5">
        <v>200</v>
      </c>
      <c r="T831" s="5" t="s">
        <v>700</v>
      </c>
      <c r="U831" s="5" t="s">
        <v>219</v>
      </c>
      <c r="W831" s="5" t="s">
        <v>44</v>
      </c>
      <c r="AG831" s="5">
        <v>20</v>
      </c>
      <c r="AJ831" s="5" t="s">
        <v>1160</v>
      </c>
    </row>
    <row r="832" spans="1:36" x14ac:dyDescent="0.25">
      <c r="A832" s="14" t="s">
        <v>123</v>
      </c>
      <c r="B832" s="5" t="s">
        <v>795</v>
      </c>
      <c r="C832" s="5" t="s">
        <v>795</v>
      </c>
      <c r="D832" s="14" t="s">
        <v>1166</v>
      </c>
      <c r="E832" s="14">
        <v>46.663894999999997</v>
      </c>
      <c r="F832" s="14">
        <v>-81.339939999999999</v>
      </c>
      <c r="M832" s="14">
        <v>2.4</v>
      </c>
      <c r="N832" s="5" t="s">
        <v>933</v>
      </c>
      <c r="P832" s="13">
        <v>39737</v>
      </c>
      <c r="Q832" s="14">
        <v>2008</v>
      </c>
      <c r="R832" s="14"/>
      <c r="S832" s="14"/>
      <c r="W832" s="5" t="s">
        <v>44</v>
      </c>
      <c r="AJ832" s="14" t="s">
        <v>935</v>
      </c>
    </row>
    <row r="833" spans="1:36" x14ac:dyDescent="0.25">
      <c r="A833" s="5" t="s">
        <v>1161</v>
      </c>
      <c r="B833" s="5" t="s">
        <v>795</v>
      </c>
      <c r="C833" s="5" t="s">
        <v>795</v>
      </c>
      <c r="D833" s="5" t="s">
        <v>1162</v>
      </c>
      <c r="E833" s="5">
        <v>37.201039999999999</v>
      </c>
      <c r="F833" s="5">
        <v>129.025711</v>
      </c>
      <c r="I833" s="5" t="s">
        <v>1163</v>
      </c>
      <c r="J833" s="5" t="s">
        <v>1164</v>
      </c>
      <c r="L833" s="5">
        <v>222</v>
      </c>
      <c r="M833" s="5">
        <v>2.4</v>
      </c>
      <c r="N833" s="5" t="s">
        <v>65</v>
      </c>
      <c r="W833" s="5" t="s">
        <v>44</v>
      </c>
      <c r="AJ833" s="5" t="s">
        <v>1165</v>
      </c>
    </row>
    <row r="834" spans="1:36" ht="15" customHeight="1" x14ac:dyDescent="0.25">
      <c r="A834" s="5" t="s">
        <v>51</v>
      </c>
      <c r="B834" s="5" t="s">
        <v>795</v>
      </c>
      <c r="C834" s="5" t="s">
        <v>795</v>
      </c>
      <c r="D834" s="5" t="s">
        <v>1169</v>
      </c>
      <c r="E834" s="5">
        <v>34.600754000000002</v>
      </c>
      <c r="F834" s="5">
        <v>-120.453985</v>
      </c>
      <c r="I834" s="5">
        <v>1981</v>
      </c>
      <c r="J834" s="5">
        <v>1995</v>
      </c>
      <c r="L834" s="5">
        <v>4</v>
      </c>
      <c r="M834" s="5">
        <v>2.2999999999999998</v>
      </c>
      <c r="N834" s="5" t="s">
        <v>326</v>
      </c>
      <c r="P834" s="7">
        <v>34794</v>
      </c>
      <c r="Q834" s="5">
        <v>1995</v>
      </c>
      <c r="V834" s="5">
        <v>0</v>
      </c>
      <c r="W834" s="5" t="s">
        <v>90</v>
      </c>
      <c r="AI834" s="5" t="s">
        <v>1170</v>
      </c>
      <c r="AJ834" s="5" t="s">
        <v>1171</v>
      </c>
    </row>
    <row r="835" spans="1:36" x14ac:dyDescent="0.25">
      <c r="A835" s="5" t="s">
        <v>51</v>
      </c>
      <c r="B835" s="5" t="s">
        <v>795</v>
      </c>
      <c r="C835" s="5" t="s">
        <v>795</v>
      </c>
      <c r="D835" s="5" t="s">
        <v>1172</v>
      </c>
      <c r="E835" s="5">
        <v>41.360180999999997</v>
      </c>
      <c r="F835" s="5">
        <v>-74.361405000000005</v>
      </c>
      <c r="M835" s="5">
        <v>2.2999999999999998</v>
      </c>
      <c r="P835" s="5">
        <v>2003</v>
      </c>
      <c r="Q835" s="5">
        <v>2003</v>
      </c>
      <c r="V835" s="5">
        <v>0</v>
      </c>
      <c r="W835" s="5" t="s">
        <v>44</v>
      </c>
      <c r="AJ835" s="5" t="s">
        <v>1173</v>
      </c>
    </row>
    <row r="836" spans="1:36" x14ac:dyDescent="0.25">
      <c r="A836" s="5" t="s">
        <v>153</v>
      </c>
      <c r="B836" s="5" t="s">
        <v>795</v>
      </c>
      <c r="C836" s="5" t="s">
        <v>795</v>
      </c>
      <c r="D836" s="5" t="s">
        <v>1167</v>
      </c>
      <c r="E836" s="5">
        <v>46.531999999999996</v>
      </c>
      <c r="F836" s="5">
        <v>131.309</v>
      </c>
      <c r="I836" s="5" t="s">
        <v>1168</v>
      </c>
      <c r="M836" s="5">
        <v>2.2999999999999998</v>
      </c>
      <c r="N836" s="5" t="s">
        <v>65</v>
      </c>
      <c r="T836" s="5" t="s">
        <v>797</v>
      </c>
      <c r="W836" s="5" t="s">
        <v>44</v>
      </c>
      <c r="AJ836" s="5" t="s">
        <v>2680</v>
      </c>
    </row>
    <row r="837" spans="1:36" x14ac:dyDescent="0.25">
      <c r="A837" s="5" t="s">
        <v>729</v>
      </c>
      <c r="B837" s="5" t="s">
        <v>795</v>
      </c>
      <c r="C837" s="5" t="s">
        <v>795</v>
      </c>
      <c r="D837" s="5" t="s">
        <v>1174</v>
      </c>
      <c r="E837" s="5">
        <v>60.203946000000002</v>
      </c>
      <c r="F837" s="5">
        <v>17.860236</v>
      </c>
      <c r="G837" s="6">
        <v>41821</v>
      </c>
      <c r="H837" s="6">
        <v>42088</v>
      </c>
      <c r="L837" s="5">
        <v>1337</v>
      </c>
      <c r="M837" s="5">
        <v>2.27</v>
      </c>
      <c r="N837" s="5" t="s">
        <v>326</v>
      </c>
      <c r="W837" s="5" t="s">
        <v>44</v>
      </c>
      <c r="AJ837" s="5" t="s">
        <v>1175</v>
      </c>
    </row>
    <row r="838" spans="1:36" x14ac:dyDescent="0.25">
      <c r="A838" s="5" t="s">
        <v>153</v>
      </c>
      <c r="B838" s="5" t="s">
        <v>795</v>
      </c>
      <c r="C838" s="5" t="s">
        <v>795</v>
      </c>
      <c r="D838" s="5" t="s">
        <v>1182</v>
      </c>
      <c r="E838" s="5">
        <v>27.818000000000001</v>
      </c>
      <c r="F838" s="5">
        <v>111.78100000000001</v>
      </c>
      <c r="I838" s="5">
        <v>1973</v>
      </c>
      <c r="M838" s="5">
        <v>2.2000000000000002</v>
      </c>
      <c r="N838" s="5" t="s">
        <v>65</v>
      </c>
      <c r="P838" s="7">
        <v>27180</v>
      </c>
      <c r="Q838" s="5">
        <v>1974</v>
      </c>
      <c r="T838" s="5" t="s">
        <v>797</v>
      </c>
      <c r="W838" s="5" t="s">
        <v>44</v>
      </c>
      <c r="AJ838" s="5" t="s">
        <v>2672</v>
      </c>
    </row>
    <row r="839" spans="1:36" x14ac:dyDescent="0.25">
      <c r="A839" s="5" t="s">
        <v>61</v>
      </c>
      <c r="B839" s="5" t="s">
        <v>795</v>
      </c>
      <c r="C839" s="5" t="s">
        <v>795</v>
      </c>
      <c r="D839" s="5" t="s">
        <v>1187</v>
      </c>
      <c r="E839" s="5">
        <v>53.42</v>
      </c>
      <c r="F839" s="5">
        <v>-1.33</v>
      </c>
      <c r="M839" s="5">
        <v>2.2000000000000002</v>
      </c>
      <c r="N839" s="5" t="s">
        <v>65</v>
      </c>
      <c r="O839" s="5">
        <v>1900</v>
      </c>
      <c r="P839" s="7">
        <v>32430</v>
      </c>
      <c r="Q839" s="5">
        <v>1988</v>
      </c>
      <c r="T839" s="5" t="s">
        <v>797</v>
      </c>
      <c r="W839" s="5" t="s">
        <v>44</v>
      </c>
      <c r="AJ839" s="5" t="s">
        <v>1188</v>
      </c>
    </row>
    <row r="840" spans="1:36" x14ac:dyDescent="0.25">
      <c r="A840" s="5" t="s">
        <v>153</v>
      </c>
      <c r="B840" s="5" t="s">
        <v>795</v>
      </c>
      <c r="C840" s="5" t="s">
        <v>795</v>
      </c>
      <c r="D840" s="5" t="s">
        <v>1183</v>
      </c>
      <c r="E840" s="5">
        <v>27.110634000000001</v>
      </c>
      <c r="F840" s="5">
        <v>106.85203799999999</v>
      </c>
      <c r="I840" s="5" t="s">
        <v>1184</v>
      </c>
      <c r="M840" s="5">
        <v>2.2000000000000002</v>
      </c>
      <c r="N840" s="5" t="s">
        <v>65</v>
      </c>
      <c r="P840" s="7">
        <v>33169</v>
      </c>
      <c r="Q840" s="5">
        <v>1990</v>
      </c>
      <c r="T840" s="5" t="s">
        <v>1185</v>
      </c>
      <c r="W840" s="5" t="s">
        <v>44</v>
      </c>
      <c r="AJ840" s="5" t="s">
        <v>2672</v>
      </c>
    </row>
    <row r="841" spans="1:36" x14ac:dyDescent="0.25">
      <c r="A841" s="5" t="s">
        <v>61</v>
      </c>
      <c r="B841" s="5" t="s">
        <v>795</v>
      </c>
      <c r="C841" s="5" t="s">
        <v>795</v>
      </c>
      <c r="D841" s="5" t="s">
        <v>1189</v>
      </c>
      <c r="E841" s="5">
        <v>51.679000000000002</v>
      </c>
      <c r="F841" s="5">
        <v>-3.26</v>
      </c>
      <c r="M841" s="5">
        <v>2.2000000000000002</v>
      </c>
      <c r="N841" s="5" t="s">
        <v>65</v>
      </c>
      <c r="O841" s="5">
        <v>1600</v>
      </c>
      <c r="P841" s="7">
        <v>33833</v>
      </c>
      <c r="Q841" s="5">
        <v>1992</v>
      </c>
      <c r="T841" s="5" t="s">
        <v>797</v>
      </c>
      <c r="W841" s="5" t="s">
        <v>44</v>
      </c>
      <c r="AJ841" s="5" t="s">
        <v>1188</v>
      </c>
    </row>
    <row r="842" spans="1:36" x14ac:dyDescent="0.25">
      <c r="A842" s="14" t="s">
        <v>806</v>
      </c>
      <c r="B842" s="5" t="s">
        <v>795</v>
      </c>
      <c r="C842" s="5" t="s">
        <v>795</v>
      </c>
      <c r="D842" s="14" t="s">
        <v>1180</v>
      </c>
      <c r="E842" s="14">
        <v>-26.416685999999999</v>
      </c>
      <c r="F842" s="14">
        <v>27.422091000000002</v>
      </c>
      <c r="M842" s="14">
        <v>2.2000000000000002</v>
      </c>
      <c r="O842" s="5">
        <v>3600</v>
      </c>
      <c r="P842" s="13">
        <v>38333</v>
      </c>
      <c r="Q842" s="14">
        <v>2004</v>
      </c>
      <c r="R842" s="14"/>
      <c r="S842" s="14"/>
      <c r="T842" s="14" t="s">
        <v>809</v>
      </c>
      <c r="W842" s="5" t="s">
        <v>44</v>
      </c>
      <c r="AJ842" s="5" t="s">
        <v>1181</v>
      </c>
    </row>
    <row r="843" spans="1:36" x14ac:dyDescent="0.25">
      <c r="A843" s="14" t="s">
        <v>123</v>
      </c>
      <c r="B843" s="5" t="s">
        <v>795</v>
      </c>
      <c r="C843" s="5" t="s">
        <v>795</v>
      </c>
      <c r="D843" s="14" t="s">
        <v>1186</v>
      </c>
      <c r="E843" s="14">
        <v>46.637213000000003</v>
      </c>
      <c r="F843" s="14">
        <v>-81.369341000000006</v>
      </c>
      <c r="M843" s="14">
        <v>2.2000000000000002</v>
      </c>
      <c r="N843" s="5" t="s">
        <v>933</v>
      </c>
      <c r="P843" s="13">
        <v>39255</v>
      </c>
      <c r="Q843" s="14">
        <v>2007</v>
      </c>
      <c r="R843" s="14"/>
      <c r="S843" s="14"/>
      <c r="W843" s="5" t="s">
        <v>44</v>
      </c>
      <c r="AJ843" s="14" t="s">
        <v>935</v>
      </c>
    </row>
    <row r="844" spans="1:36" x14ac:dyDescent="0.25">
      <c r="A844" s="5" t="s">
        <v>842</v>
      </c>
      <c r="B844" s="5" t="s">
        <v>795</v>
      </c>
      <c r="C844" s="5" t="s">
        <v>795</v>
      </c>
      <c r="D844" s="5" t="s">
        <v>1176</v>
      </c>
      <c r="E844" s="5">
        <v>50.244826000000003</v>
      </c>
      <c r="F844" s="5">
        <v>18.988759000000002</v>
      </c>
      <c r="G844" s="5">
        <v>1899</v>
      </c>
      <c r="M844" s="5">
        <v>2.2000000000000002</v>
      </c>
      <c r="N844" s="5" t="s">
        <v>40</v>
      </c>
      <c r="T844" s="5" t="s">
        <v>797</v>
      </c>
      <c r="V844" s="5" t="s">
        <v>1177</v>
      </c>
      <c r="W844" s="5" t="s">
        <v>44</v>
      </c>
      <c r="Z844" s="5">
        <v>8</v>
      </c>
      <c r="AJ844" s="5" t="s">
        <v>1098</v>
      </c>
    </row>
    <row r="845" spans="1:36" ht="15" customHeight="1" x14ac:dyDescent="0.25">
      <c r="A845" s="5" t="s">
        <v>842</v>
      </c>
      <c r="B845" s="5" t="s">
        <v>795</v>
      </c>
      <c r="C845" s="5" t="s">
        <v>795</v>
      </c>
      <c r="D845" s="5" t="s">
        <v>1178</v>
      </c>
      <c r="E845" s="5">
        <v>50.125943999999997</v>
      </c>
      <c r="F845" s="5">
        <v>19.128883999999999</v>
      </c>
      <c r="G845" s="5">
        <v>1952</v>
      </c>
      <c r="M845" s="5">
        <v>2.2000000000000002</v>
      </c>
      <c r="N845" s="5" t="s">
        <v>40</v>
      </c>
      <c r="T845" s="5" t="s">
        <v>797</v>
      </c>
      <c r="V845" s="5" t="s">
        <v>1179</v>
      </c>
      <c r="W845" s="5" t="s">
        <v>44</v>
      </c>
      <c r="Z845" s="5">
        <v>60</v>
      </c>
      <c r="AJ845" s="5" t="s">
        <v>1098</v>
      </c>
    </row>
    <row r="846" spans="1:36" x14ac:dyDescent="0.25">
      <c r="A846" s="5" t="s">
        <v>678</v>
      </c>
      <c r="B846" s="5" t="s">
        <v>795</v>
      </c>
      <c r="C846" s="5" t="s">
        <v>1192</v>
      </c>
      <c r="D846" s="5" t="s">
        <v>1193</v>
      </c>
      <c r="E846" s="5">
        <v>43.468685999999998</v>
      </c>
      <c r="F846" s="5">
        <v>141.99075500000001</v>
      </c>
      <c r="G846" s="5">
        <v>1964</v>
      </c>
      <c r="I846" s="6"/>
      <c r="J846" s="6"/>
      <c r="L846" s="5">
        <v>27</v>
      </c>
      <c r="M846" s="5">
        <v>2.1</v>
      </c>
      <c r="N846" s="5" t="s">
        <v>65</v>
      </c>
      <c r="O846" s="5">
        <v>1180</v>
      </c>
      <c r="P846" s="7">
        <v>31441</v>
      </c>
      <c r="Q846" s="5">
        <v>1986</v>
      </c>
      <c r="T846" s="5" t="s">
        <v>797</v>
      </c>
      <c r="V846" s="5">
        <v>1080</v>
      </c>
      <c r="W846" s="5" t="s">
        <v>73</v>
      </c>
      <c r="Z846" s="5">
        <v>2.2418E-2</v>
      </c>
      <c r="AJ846" s="5" t="s">
        <v>1194</v>
      </c>
    </row>
    <row r="847" spans="1:36" ht="15" customHeight="1" x14ac:dyDescent="0.25">
      <c r="A847" s="5" t="s">
        <v>61</v>
      </c>
      <c r="B847" s="5" t="s">
        <v>795</v>
      </c>
      <c r="C847" s="5" t="s">
        <v>795</v>
      </c>
      <c r="D847" s="5" t="s">
        <v>1195</v>
      </c>
      <c r="E847" s="5">
        <v>53.24</v>
      </c>
      <c r="F847" s="5">
        <v>-1.79</v>
      </c>
      <c r="M847" s="5">
        <v>2.1</v>
      </c>
      <c r="N847" s="5" t="s">
        <v>65</v>
      </c>
      <c r="O847" s="5">
        <v>500</v>
      </c>
      <c r="P847" s="7">
        <v>32755</v>
      </c>
      <c r="Q847" s="5">
        <v>1989</v>
      </c>
      <c r="T847" s="5" t="s">
        <v>797</v>
      </c>
      <c r="W847" s="5" t="s">
        <v>44</v>
      </c>
      <c r="AJ847" s="5" t="s">
        <v>1188</v>
      </c>
    </row>
    <row r="848" spans="1:36" ht="15" customHeight="1" x14ac:dyDescent="0.25">
      <c r="A848" s="5" t="s">
        <v>153</v>
      </c>
      <c r="B848" s="5" t="s">
        <v>795</v>
      </c>
      <c r="C848" s="5" t="s">
        <v>795</v>
      </c>
      <c r="D848" s="5" t="s">
        <v>1190</v>
      </c>
      <c r="E848" s="5">
        <v>40.110329</v>
      </c>
      <c r="F848" s="5">
        <v>113.16221</v>
      </c>
      <c r="I848" s="5" t="s">
        <v>1191</v>
      </c>
      <c r="M848" s="5">
        <v>2.1</v>
      </c>
      <c r="N848" s="5" t="s">
        <v>65</v>
      </c>
      <c r="T848" s="5" t="s">
        <v>797</v>
      </c>
      <c r="W848" s="5" t="s">
        <v>44</v>
      </c>
      <c r="AJ848" s="5" t="s">
        <v>2672</v>
      </c>
    </row>
    <row r="849" spans="1:36" x14ac:dyDescent="0.25">
      <c r="A849" s="5" t="s">
        <v>61</v>
      </c>
      <c r="B849" s="5" t="s">
        <v>795</v>
      </c>
      <c r="C849" s="5" t="s">
        <v>795</v>
      </c>
      <c r="D849" s="5" t="s">
        <v>1200</v>
      </c>
      <c r="E849" s="5">
        <v>54.85</v>
      </c>
      <c r="F849" s="5">
        <v>-1.27</v>
      </c>
      <c r="M849" s="5">
        <v>2</v>
      </c>
      <c r="N849" s="5" t="s">
        <v>65</v>
      </c>
      <c r="O849" s="5">
        <v>7300</v>
      </c>
      <c r="P849" s="7">
        <v>32268</v>
      </c>
      <c r="Q849" s="5">
        <v>1988</v>
      </c>
      <c r="T849" s="5" t="s">
        <v>797</v>
      </c>
      <c r="W849" s="5" t="s">
        <v>44</v>
      </c>
      <c r="AJ849" s="5" t="s">
        <v>1188</v>
      </c>
    </row>
    <row r="850" spans="1:36" x14ac:dyDescent="0.25">
      <c r="A850" s="5" t="s">
        <v>250</v>
      </c>
      <c r="B850" s="5" t="s">
        <v>795</v>
      </c>
      <c r="C850" s="5" t="s">
        <v>825</v>
      </c>
      <c r="D850" s="5" t="s">
        <v>2157</v>
      </c>
      <c r="E850" s="5">
        <v>51.129426000000002</v>
      </c>
      <c r="F850" s="5">
        <v>5.9454219999999998</v>
      </c>
      <c r="M850" s="5">
        <v>2</v>
      </c>
      <c r="N850" s="5" t="s">
        <v>65</v>
      </c>
      <c r="P850" s="7">
        <v>37530</v>
      </c>
      <c r="Q850" s="5">
        <v>2002</v>
      </c>
      <c r="T850" s="5" t="s">
        <v>2158</v>
      </c>
      <c r="W850" s="5" t="s">
        <v>44</v>
      </c>
      <c r="AJ850" s="5" t="s">
        <v>2159</v>
      </c>
    </row>
    <row r="851" spans="1:36" x14ac:dyDescent="0.25">
      <c r="A851" s="5" t="s">
        <v>347</v>
      </c>
      <c r="B851" s="5" t="s">
        <v>795</v>
      </c>
      <c r="C851" s="5" t="s">
        <v>795</v>
      </c>
      <c r="D851" s="5" t="s">
        <v>1196</v>
      </c>
      <c r="E851" s="5">
        <v>50.165385999999998</v>
      </c>
      <c r="F851" s="5">
        <v>14.083062</v>
      </c>
      <c r="G851" s="5">
        <v>1874</v>
      </c>
      <c r="I851" s="6">
        <v>34335</v>
      </c>
      <c r="J851" s="6">
        <v>34699</v>
      </c>
      <c r="K851" s="6"/>
      <c r="L851" s="5">
        <v>3090</v>
      </c>
      <c r="M851" s="5">
        <v>2</v>
      </c>
      <c r="N851" s="5" t="s">
        <v>65</v>
      </c>
      <c r="T851" s="5" t="s">
        <v>797</v>
      </c>
      <c r="U851" s="5">
        <v>420</v>
      </c>
      <c r="V851" s="5">
        <v>1850</v>
      </c>
      <c r="W851" s="5" t="s">
        <v>44</v>
      </c>
      <c r="AJ851" s="18" t="s">
        <v>1197</v>
      </c>
    </row>
    <row r="852" spans="1:36" x14ac:dyDescent="0.25">
      <c r="A852" s="5" t="s">
        <v>153</v>
      </c>
      <c r="B852" s="5" t="s">
        <v>795</v>
      </c>
      <c r="C852" s="5" t="s">
        <v>795</v>
      </c>
      <c r="D852" s="5" t="s">
        <v>1198</v>
      </c>
      <c r="E852" s="5">
        <v>26.585350999999999</v>
      </c>
      <c r="F852" s="5">
        <v>112.595755</v>
      </c>
      <c r="M852" s="5">
        <v>2</v>
      </c>
      <c r="N852" s="5" t="s">
        <v>65</v>
      </c>
      <c r="T852" s="5" t="s">
        <v>1199</v>
      </c>
      <c r="W852" s="5" t="s">
        <v>44</v>
      </c>
      <c r="AJ852" s="5" t="s">
        <v>2672</v>
      </c>
    </row>
    <row r="853" spans="1:36" x14ac:dyDescent="0.25">
      <c r="A853" s="5" t="s">
        <v>61</v>
      </c>
      <c r="B853" s="5" t="s">
        <v>795</v>
      </c>
      <c r="C853" s="5" t="s">
        <v>795</v>
      </c>
      <c r="D853" s="5" t="s">
        <v>1201</v>
      </c>
      <c r="E853" s="5">
        <v>53.59</v>
      </c>
      <c r="F853" s="5">
        <v>-2.37</v>
      </c>
      <c r="M853" s="5">
        <v>1.7</v>
      </c>
      <c r="N853" s="5" t="s">
        <v>65</v>
      </c>
      <c r="O853" s="5">
        <v>2500</v>
      </c>
      <c r="P853" s="7">
        <v>32578</v>
      </c>
      <c r="Q853" s="5">
        <v>1989</v>
      </c>
      <c r="T853" s="5" t="s">
        <v>797</v>
      </c>
      <c r="W853" s="5" t="s">
        <v>44</v>
      </c>
      <c r="AJ853" s="5" t="s">
        <v>1188</v>
      </c>
    </row>
    <row r="854" spans="1:36" x14ac:dyDescent="0.25">
      <c r="A854" s="5" t="s">
        <v>153</v>
      </c>
      <c r="B854" s="5" t="s">
        <v>795</v>
      </c>
      <c r="C854" s="5" t="s">
        <v>795</v>
      </c>
      <c r="D854" s="5" t="s">
        <v>1202</v>
      </c>
      <c r="E854" s="5">
        <v>26.994</v>
      </c>
      <c r="F854" s="5">
        <v>110.691</v>
      </c>
      <c r="I854" s="5" t="s">
        <v>1074</v>
      </c>
      <c r="M854" s="5">
        <v>1.6</v>
      </c>
      <c r="N854" s="5" t="s">
        <v>65</v>
      </c>
      <c r="P854" s="7" t="s">
        <v>1074</v>
      </c>
      <c r="Q854" s="5">
        <v>1991</v>
      </c>
      <c r="T854" s="5" t="s">
        <v>797</v>
      </c>
      <c r="W854" s="5" t="s">
        <v>44</v>
      </c>
      <c r="AJ854" s="5" t="s">
        <v>2680</v>
      </c>
    </row>
    <row r="855" spans="1:36" x14ac:dyDescent="0.25">
      <c r="A855" s="5" t="s">
        <v>51</v>
      </c>
      <c r="B855" s="5" t="s">
        <v>795</v>
      </c>
      <c r="C855" s="5" t="s">
        <v>831</v>
      </c>
      <c r="D855" s="5" t="s">
        <v>2031</v>
      </c>
      <c r="E855" s="5">
        <v>30.010584000000001</v>
      </c>
      <c r="F855" s="5">
        <v>-91.143366</v>
      </c>
      <c r="I855" s="6">
        <v>41122</v>
      </c>
      <c r="J855" s="6">
        <v>41123</v>
      </c>
      <c r="L855" s="5">
        <v>62</v>
      </c>
      <c r="M855" s="5">
        <v>1.6</v>
      </c>
      <c r="N855" s="5" t="s">
        <v>40</v>
      </c>
      <c r="O855" s="5">
        <v>470</v>
      </c>
      <c r="P855" s="5">
        <v>2012</v>
      </c>
      <c r="Q855" s="5">
        <v>2012</v>
      </c>
      <c r="T855" s="5" t="s">
        <v>859</v>
      </c>
      <c r="U855" s="5" t="s">
        <v>2032</v>
      </c>
      <c r="W855" s="5" t="s">
        <v>44</v>
      </c>
      <c r="AJ855" s="5" t="s">
        <v>2033</v>
      </c>
    </row>
    <row r="856" spans="1:36" x14ac:dyDescent="0.25">
      <c r="A856" s="5" t="s">
        <v>61</v>
      </c>
      <c r="B856" s="5" t="s">
        <v>795</v>
      </c>
      <c r="C856" s="5" t="s">
        <v>825</v>
      </c>
      <c r="D856" s="5" t="s">
        <v>2388</v>
      </c>
      <c r="E856" s="5">
        <v>54.553457000000002</v>
      </c>
      <c r="F856" s="5">
        <v>-0.82430000000000003</v>
      </c>
      <c r="I856" s="6"/>
      <c r="J856" s="6"/>
      <c r="M856" s="5">
        <v>1.2</v>
      </c>
      <c r="N856" s="5" t="s">
        <v>65</v>
      </c>
      <c r="O856" s="5">
        <v>1000</v>
      </c>
      <c r="P856" s="7">
        <v>43656</v>
      </c>
      <c r="Q856" s="5">
        <v>2019</v>
      </c>
      <c r="T856" s="5" t="s">
        <v>2389</v>
      </c>
      <c r="W856" s="5" t="s">
        <v>44</v>
      </c>
      <c r="AJ856" s="5" t="s">
        <v>2390</v>
      </c>
    </row>
    <row r="857" spans="1:36" x14ac:dyDescent="0.25">
      <c r="A857" s="5" t="s">
        <v>1203</v>
      </c>
      <c r="B857" s="5" t="s">
        <v>795</v>
      </c>
      <c r="C857" s="5" t="s">
        <v>795</v>
      </c>
      <c r="D857" s="5" t="s">
        <v>1204</v>
      </c>
      <c r="E857" s="5">
        <v>63.659049000000003</v>
      </c>
      <c r="F857" s="5">
        <v>26.048171</v>
      </c>
      <c r="G857" s="5" t="s">
        <v>1119</v>
      </c>
      <c r="H857" s="5" t="s">
        <v>618</v>
      </c>
      <c r="L857" s="5">
        <v>8000</v>
      </c>
      <c r="M857" s="5">
        <v>1.2</v>
      </c>
      <c r="N857" s="5" t="s">
        <v>40</v>
      </c>
      <c r="T857" s="5" t="s">
        <v>1205</v>
      </c>
      <c r="V857" s="5" t="s">
        <v>1206</v>
      </c>
      <c r="W857" s="5" t="s">
        <v>44</v>
      </c>
      <c r="AJ857" s="5" t="s">
        <v>1207</v>
      </c>
    </row>
    <row r="858" spans="1:36" x14ac:dyDescent="0.25">
      <c r="A858" s="5" t="s">
        <v>51</v>
      </c>
      <c r="B858" s="5" t="s">
        <v>795</v>
      </c>
      <c r="C858" s="5" t="s">
        <v>795</v>
      </c>
      <c r="D858" s="5" t="s">
        <v>1208</v>
      </c>
      <c r="E858" s="5">
        <v>37.202764999999999</v>
      </c>
      <c r="F858" s="5">
        <v>-81.986130000000003</v>
      </c>
      <c r="M858" s="5">
        <v>1</v>
      </c>
      <c r="N858" s="5" t="s">
        <v>65</v>
      </c>
      <c r="P858" s="7">
        <v>27164</v>
      </c>
      <c r="Q858" s="5">
        <v>1974</v>
      </c>
      <c r="T858" s="5" t="s">
        <v>797</v>
      </c>
      <c r="W858" s="5" t="s">
        <v>44</v>
      </c>
      <c r="AJ858" s="5" t="s">
        <v>879</v>
      </c>
    </row>
    <row r="859" spans="1:36" x14ac:dyDescent="0.25">
      <c r="A859" s="5" t="s">
        <v>51</v>
      </c>
      <c r="B859" s="5" t="s">
        <v>795</v>
      </c>
      <c r="C859" s="5" t="s">
        <v>831</v>
      </c>
      <c r="D859" s="5" t="s">
        <v>1209</v>
      </c>
      <c r="E859" s="5">
        <v>42.819370999999997</v>
      </c>
      <c r="F859" s="5">
        <v>-78.173129000000003</v>
      </c>
      <c r="G859" s="5">
        <v>1971</v>
      </c>
      <c r="I859" s="5">
        <v>1971</v>
      </c>
      <c r="M859" s="5">
        <v>1</v>
      </c>
      <c r="N859" s="5" t="s">
        <v>65</v>
      </c>
      <c r="T859" s="5" t="s">
        <v>859</v>
      </c>
      <c r="W859" s="5" t="s">
        <v>44</v>
      </c>
      <c r="AE859" s="5">
        <v>5.5</v>
      </c>
      <c r="AF859" s="5">
        <v>5.5</v>
      </c>
      <c r="AJ859" s="5" t="s">
        <v>1210</v>
      </c>
    </row>
    <row r="860" spans="1:36" x14ac:dyDescent="0.25">
      <c r="A860" s="5" t="s">
        <v>550</v>
      </c>
      <c r="B860" s="5" t="s">
        <v>795</v>
      </c>
      <c r="C860" s="5" t="s">
        <v>1211</v>
      </c>
      <c r="D860" s="5" t="s">
        <v>1212</v>
      </c>
      <c r="E860" s="5">
        <v>-33.164268</v>
      </c>
      <c r="F860" s="5">
        <v>151.62427299999999</v>
      </c>
      <c r="M860" s="5">
        <v>0.6</v>
      </c>
      <c r="N860" s="5" t="s">
        <v>40</v>
      </c>
      <c r="P860" s="5">
        <v>1998</v>
      </c>
      <c r="Q860" s="5">
        <v>1998</v>
      </c>
      <c r="T860" s="5" t="s">
        <v>797</v>
      </c>
      <c r="V860" s="5" t="s">
        <v>1213</v>
      </c>
      <c r="W860" s="5" t="s">
        <v>44</v>
      </c>
      <c r="AJ860" s="5" t="s">
        <v>879</v>
      </c>
    </row>
    <row r="861" spans="1:36" x14ac:dyDescent="0.25">
      <c r="A861" s="14" t="s">
        <v>51</v>
      </c>
      <c r="B861" s="5" t="s">
        <v>795</v>
      </c>
      <c r="C861" s="5" t="s">
        <v>825</v>
      </c>
      <c r="D861" s="14" t="s">
        <v>1214</v>
      </c>
      <c r="E861" s="14">
        <v>40.013297999999999</v>
      </c>
      <c r="F861" s="14">
        <v>-79.539274000000006</v>
      </c>
      <c r="J861" s="6"/>
      <c r="M861" s="14">
        <v>0.2</v>
      </c>
      <c r="N861" s="5" t="s">
        <v>40</v>
      </c>
      <c r="O861" s="5">
        <v>100</v>
      </c>
      <c r="P861" s="13">
        <v>36577</v>
      </c>
      <c r="Q861" s="14">
        <v>2000</v>
      </c>
      <c r="R861" s="14"/>
      <c r="S861" s="14"/>
      <c r="T861" s="14" t="s">
        <v>116</v>
      </c>
      <c r="V861" s="5">
        <v>100</v>
      </c>
      <c r="W861" s="5" t="s">
        <v>44</v>
      </c>
      <c r="AJ861" s="5" t="s">
        <v>879</v>
      </c>
    </row>
    <row r="862" spans="1:36" x14ac:dyDescent="0.25">
      <c r="A862" s="5" t="s">
        <v>377</v>
      </c>
      <c r="B862" s="5" t="s">
        <v>795</v>
      </c>
      <c r="C862" s="5" t="s">
        <v>2034</v>
      </c>
      <c r="D862" s="5" t="s">
        <v>2035</v>
      </c>
      <c r="E862" s="5">
        <v>45.081741000000001</v>
      </c>
      <c r="F862" s="5">
        <v>24.317156000000001</v>
      </c>
      <c r="I862" s="6">
        <v>38540</v>
      </c>
      <c r="J862" s="6">
        <v>38787</v>
      </c>
      <c r="L862" s="5">
        <v>2392</v>
      </c>
      <c r="M862" s="5">
        <v>0.2</v>
      </c>
      <c r="N862" s="5" t="s">
        <v>40</v>
      </c>
      <c r="P862" s="5"/>
      <c r="T862" s="5" t="s">
        <v>859</v>
      </c>
      <c r="W862" s="5" t="s">
        <v>44</v>
      </c>
      <c r="AJ862" s="5" t="s">
        <v>2036</v>
      </c>
    </row>
    <row r="863" spans="1:36" x14ac:dyDescent="0.25">
      <c r="A863" s="5" t="s">
        <v>153</v>
      </c>
      <c r="B863" s="5" t="s">
        <v>795</v>
      </c>
      <c r="C863" s="5" t="s">
        <v>795</v>
      </c>
      <c r="D863" s="5" t="s">
        <v>2689</v>
      </c>
      <c r="E863" s="5">
        <v>29.449504000000001</v>
      </c>
      <c r="F863" s="5">
        <v>102.217635</v>
      </c>
      <c r="M863" s="5">
        <v>-0.2</v>
      </c>
      <c r="N863" s="5" t="s">
        <v>40</v>
      </c>
      <c r="V863" s="5">
        <v>0</v>
      </c>
      <c r="W863" s="5" t="s">
        <v>103</v>
      </c>
      <c r="AJ863" s="5" t="s">
        <v>2690</v>
      </c>
    </row>
    <row r="864" spans="1:36" x14ac:dyDescent="0.25">
      <c r="A864" s="5" t="s">
        <v>189</v>
      </c>
      <c r="B864" s="5" t="s">
        <v>795</v>
      </c>
      <c r="C864" s="5" t="s">
        <v>831</v>
      </c>
      <c r="D864" s="5" t="s">
        <v>1215</v>
      </c>
      <c r="E864" s="5">
        <v>43.673496999999998</v>
      </c>
      <c r="F864" s="5">
        <v>4.3044739999999999</v>
      </c>
      <c r="I864" s="5">
        <v>1992</v>
      </c>
      <c r="L864" s="5" t="s">
        <v>1216</v>
      </c>
      <c r="M864" s="5">
        <v>-0.24</v>
      </c>
      <c r="N864" s="5" t="s">
        <v>40</v>
      </c>
      <c r="T864" s="5" t="s">
        <v>859</v>
      </c>
      <c r="V864" s="5" t="s">
        <v>1217</v>
      </c>
      <c r="W864" s="5" t="s">
        <v>44</v>
      </c>
      <c r="AJ864" s="5" t="s">
        <v>1218</v>
      </c>
    </row>
    <row r="865" spans="1:36" x14ac:dyDescent="0.25">
      <c r="A865" s="5" t="s">
        <v>123</v>
      </c>
      <c r="B865" s="5" t="s">
        <v>795</v>
      </c>
      <c r="C865" s="5" t="s">
        <v>1219</v>
      </c>
      <c r="D865" s="5" t="s">
        <v>1220</v>
      </c>
      <c r="E865" s="5">
        <v>50.253143000000001</v>
      </c>
      <c r="F865" s="5">
        <v>-95.864818</v>
      </c>
      <c r="L865" s="5" t="s">
        <v>574</v>
      </c>
      <c r="M865" s="5">
        <v>-1.9</v>
      </c>
      <c r="N865" s="5" t="s">
        <v>40</v>
      </c>
      <c r="V865" s="5" t="s">
        <v>1221</v>
      </c>
      <c r="W865" s="5" t="s">
        <v>44</v>
      </c>
      <c r="AJ865" s="5" t="s">
        <v>1222</v>
      </c>
    </row>
    <row r="866" spans="1:36" x14ac:dyDescent="0.25">
      <c r="A866" s="5" t="s">
        <v>806</v>
      </c>
      <c r="B866" s="5" t="s">
        <v>795</v>
      </c>
      <c r="C866" s="5" t="s">
        <v>825</v>
      </c>
      <c r="D866" s="5" t="s">
        <v>1230</v>
      </c>
      <c r="E866" s="5">
        <v>-26.225292</v>
      </c>
      <c r="F866" s="5">
        <v>28.034365000000001</v>
      </c>
      <c r="P866" s="5">
        <v>1908</v>
      </c>
      <c r="Q866" s="5">
        <v>1908</v>
      </c>
      <c r="W866" s="5" t="s">
        <v>44</v>
      </c>
      <c r="AJ866" s="5" t="s">
        <v>868</v>
      </c>
    </row>
    <row r="867" spans="1:36" x14ac:dyDescent="0.25">
      <c r="A867" s="5" t="s">
        <v>51</v>
      </c>
      <c r="B867" s="5" t="s">
        <v>795</v>
      </c>
      <c r="C867" s="5" t="s">
        <v>825</v>
      </c>
      <c r="D867" s="5" t="s">
        <v>1237</v>
      </c>
      <c r="E867" s="5">
        <v>41.246184</v>
      </c>
      <c r="F867" s="5">
        <v>-75.881197</v>
      </c>
      <c r="P867" s="7" t="s">
        <v>1238</v>
      </c>
      <c r="Q867" s="5">
        <v>1954</v>
      </c>
      <c r="T867" s="5" t="s">
        <v>797</v>
      </c>
      <c r="W867" s="5" t="s">
        <v>44</v>
      </c>
      <c r="AJ867" s="5" t="s">
        <v>1114</v>
      </c>
    </row>
    <row r="868" spans="1:36" x14ac:dyDescent="0.25">
      <c r="A868" s="5" t="s">
        <v>108</v>
      </c>
      <c r="B868" s="5" t="s">
        <v>795</v>
      </c>
      <c r="C868" s="5" t="s">
        <v>795</v>
      </c>
      <c r="D868" s="5" t="s">
        <v>2039</v>
      </c>
      <c r="E868" s="5">
        <v>46.44</v>
      </c>
      <c r="F868" s="5">
        <v>13.57</v>
      </c>
      <c r="G868" s="6"/>
      <c r="I868" s="6"/>
      <c r="P868" s="5">
        <v>1965</v>
      </c>
      <c r="Q868" s="5">
        <v>1965</v>
      </c>
      <c r="AJ868" s="5" t="s">
        <v>2597</v>
      </c>
    </row>
    <row r="869" spans="1:36" x14ac:dyDescent="0.25">
      <c r="A869" s="5" t="s">
        <v>153</v>
      </c>
      <c r="B869" s="5" t="s">
        <v>795</v>
      </c>
      <c r="C869" s="5" t="s">
        <v>1339</v>
      </c>
      <c r="D869" s="5" t="s">
        <v>1381</v>
      </c>
      <c r="E869" s="5">
        <v>30.932099999999998</v>
      </c>
      <c r="F869" s="5">
        <v>117.78259</v>
      </c>
      <c r="O869" s="5">
        <v>850</v>
      </c>
      <c r="P869" s="7" t="s">
        <v>1382</v>
      </c>
      <c r="Q869" s="5">
        <v>1999</v>
      </c>
      <c r="T869" s="5" t="s">
        <v>844</v>
      </c>
      <c r="U869" s="5" t="s">
        <v>1383</v>
      </c>
      <c r="V869" s="5" t="s">
        <v>1384</v>
      </c>
      <c r="W869" s="5" t="s">
        <v>44</v>
      </c>
      <c r="AJ869" s="5" t="s">
        <v>2691</v>
      </c>
    </row>
    <row r="870" spans="1:36" x14ac:dyDescent="0.25">
      <c r="A870" s="5" t="s">
        <v>153</v>
      </c>
      <c r="B870" s="5" t="s">
        <v>795</v>
      </c>
      <c r="C870" s="5" t="s">
        <v>1339</v>
      </c>
      <c r="D870" s="5" t="s">
        <v>1354</v>
      </c>
      <c r="E870" s="5">
        <v>24.953834000000001</v>
      </c>
      <c r="F870" s="5">
        <v>105.20404000000001</v>
      </c>
      <c r="L870" s="5" t="s">
        <v>1355</v>
      </c>
      <c r="O870" s="5" t="s">
        <v>1356</v>
      </c>
      <c r="P870" s="7">
        <v>33218</v>
      </c>
      <c r="Q870" s="5">
        <v>1990</v>
      </c>
      <c r="S870" s="19" t="s">
        <v>2001</v>
      </c>
      <c r="T870" s="5" t="s">
        <v>116</v>
      </c>
      <c r="U870" s="5">
        <v>600</v>
      </c>
      <c r="V870" s="5" t="s">
        <v>1356</v>
      </c>
      <c r="W870" s="5" t="s">
        <v>44</v>
      </c>
      <c r="AJ870" s="5" t="s">
        <v>2692</v>
      </c>
    </row>
    <row r="871" spans="1:36" x14ac:dyDescent="0.25">
      <c r="A871" s="5" t="s">
        <v>123</v>
      </c>
      <c r="B871" s="5" t="s">
        <v>795</v>
      </c>
      <c r="C871" s="5" t="s">
        <v>849</v>
      </c>
      <c r="D871" s="5" t="s">
        <v>1223</v>
      </c>
      <c r="E871" s="5">
        <v>47.473865000000004</v>
      </c>
      <c r="F871" s="5">
        <v>-65.889022999999995</v>
      </c>
      <c r="W871" s="5" t="s">
        <v>44</v>
      </c>
      <c r="AJ871" s="5" t="s">
        <v>1224</v>
      </c>
    </row>
    <row r="872" spans="1:36" x14ac:dyDescent="0.25">
      <c r="A872" s="5" t="s">
        <v>550</v>
      </c>
      <c r="B872" s="5" t="s">
        <v>795</v>
      </c>
      <c r="C872" s="5" t="s">
        <v>795</v>
      </c>
      <c r="D872" s="5" t="s">
        <v>1226</v>
      </c>
      <c r="E872" s="5">
        <v>-42.068823999999999</v>
      </c>
      <c r="F872" s="5">
        <v>145.56912500000001</v>
      </c>
      <c r="W872" s="5" t="s">
        <v>44</v>
      </c>
      <c r="AJ872" s="5" t="s">
        <v>1015</v>
      </c>
    </row>
    <row r="873" spans="1:36" x14ac:dyDescent="0.25">
      <c r="A873" s="5" t="s">
        <v>1082</v>
      </c>
      <c r="B873" s="5" t="s">
        <v>795</v>
      </c>
      <c r="C873" s="5" t="s">
        <v>795</v>
      </c>
      <c r="D873" s="5" t="s">
        <v>1227</v>
      </c>
      <c r="E873" s="5">
        <v>23.673245999999999</v>
      </c>
      <c r="F873" s="5">
        <v>86.860692</v>
      </c>
      <c r="T873" s="5" t="s">
        <v>797</v>
      </c>
      <c r="V873" s="5" t="s">
        <v>1228</v>
      </c>
      <c r="W873" s="5" t="s">
        <v>73</v>
      </c>
      <c r="AJ873" s="5" t="s">
        <v>1229</v>
      </c>
    </row>
    <row r="874" spans="1:36" x14ac:dyDescent="0.25">
      <c r="A874" s="5" t="s">
        <v>149</v>
      </c>
      <c r="B874" s="5" t="s">
        <v>795</v>
      </c>
      <c r="C874" s="5" t="s">
        <v>795</v>
      </c>
      <c r="D874" s="5" t="s">
        <v>1232</v>
      </c>
      <c r="E874" s="5">
        <v>69.400193000000002</v>
      </c>
      <c r="F874" s="5">
        <v>30.730429999999998</v>
      </c>
      <c r="T874" s="5" t="s">
        <v>1029</v>
      </c>
      <c r="V874" s="5">
        <v>820</v>
      </c>
      <c r="W874" s="5" t="s">
        <v>44</v>
      </c>
      <c r="AJ874" s="5" t="s">
        <v>1233</v>
      </c>
    </row>
    <row r="875" spans="1:36" x14ac:dyDescent="0.25">
      <c r="A875" s="5" t="s">
        <v>123</v>
      </c>
      <c r="B875" s="5" t="s">
        <v>795</v>
      </c>
      <c r="C875" s="5" t="s">
        <v>849</v>
      </c>
      <c r="D875" s="5" t="s">
        <v>1234</v>
      </c>
      <c r="E875" s="5">
        <v>46.495553000000001</v>
      </c>
      <c r="F875" s="5">
        <v>-82.603808999999998</v>
      </c>
      <c r="T875" s="5" t="s">
        <v>1029</v>
      </c>
      <c r="W875" s="5" t="s">
        <v>44</v>
      </c>
      <c r="AJ875" s="5" t="s">
        <v>851</v>
      </c>
    </row>
    <row r="876" spans="1:36" x14ac:dyDescent="0.25">
      <c r="A876" s="5" t="s">
        <v>678</v>
      </c>
      <c r="B876" s="5" t="s">
        <v>795</v>
      </c>
      <c r="C876" s="5" t="s">
        <v>836</v>
      </c>
      <c r="D876" s="5" t="s">
        <v>1235</v>
      </c>
      <c r="E876" s="5">
        <v>33.013745999999998</v>
      </c>
      <c r="F876" s="5">
        <v>130.455884</v>
      </c>
      <c r="G876" s="6"/>
      <c r="H876" s="6"/>
      <c r="T876" s="5" t="s">
        <v>797</v>
      </c>
      <c r="W876" s="5" t="s">
        <v>73</v>
      </c>
      <c r="AJ876" s="5" t="s">
        <v>1236</v>
      </c>
    </row>
    <row r="877" spans="1:36" x14ac:dyDescent="0.25">
      <c r="A877" s="5" t="s">
        <v>550</v>
      </c>
      <c r="B877" s="5" t="s">
        <v>795</v>
      </c>
      <c r="C877" s="5" t="s">
        <v>795</v>
      </c>
      <c r="D877" s="5" t="s">
        <v>1239</v>
      </c>
      <c r="E877" s="5">
        <v>-30.72785</v>
      </c>
      <c r="F877" s="5">
        <v>121.479581</v>
      </c>
      <c r="G877" s="5" t="s">
        <v>1240</v>
      </c>
      <c r="T877" s="5" t="s">
        <v>809</v>
      </c>
      <c r="V877" s="5" t="s">
        <v>1241</v>
      </c>
      <c r="W877" s="5" t="s">
        <v>44</v>
      </c>
      <c r="AJ877" s="5" t="s">
        <v>1242</v>
      </c>
    </row>
    <row r="878" spans="1:36" x14ac:dyDescent="0.25">
      <c r="A878" s="5" t="s">
        <v>153</v>
      </c>
      <c r="B878" s="5" t="s">
        <v>795</v>
      </c>
      <c r="C878" s="5" t="s">
        <v>795</v>
      </c>
      <c r="D878" s="5" t="s">
        <v>1243</v>
      </c>
      <c r="E878" s="5">
        <v>47.272069000000002</v>
      </c>
      <c r="F878" s="5">
        <v>130.28372200000001</v>
      </c>
      <c r="I878" s="5" t="s">
        <v>165</v>
      </c>
      <c r="O878" s="5">
        <v>400</v>
      </c>
      <c r="T878" s="5" t="s">
        <v>797</v>
      </c>
      <c r="W878" s="5" t="s">
        <v>44</v>
      </c>
      <c r="AJ878" s="5" t="s">
        <v>2672</v>
      </c>
    </row>
    <row r="879" spans="1:36" x14ac:dyDescent="0.25">
      <c r="A879" s="5" t="s">
        <v>153</v>
      </c>
      <c r="B879" s="5" t="s">
        <v>795</v>
      </c>
      <c r="C879" s="5" t="s">
        <v>795</v>
      </c>
      <c r="D879" s="5" t="s">
        <v>1244</v>
      </c>
      <c r="E879" s="5">
        <v>45.358846</v>
      </c>
      <c r="F879" s="5">
        <v>130.75349499999999</v>
      </c>
      <c r="I879" s="5" t="s">
        <v>1131</v>
      </c>
      <c r="T879" s="5" t="s">
        <v>797</v>
      </c>
      <c r="W879" s="5" t="s">
        <v>44</v>
      </c>
      <c r="AJ879" s="5" t="s">
        <v>2672</v>
      </c>
    </row>
    <row r="880" spans="1:36" x14ac:dyDescent="0.25">
      <c r="A880" s="5" t="s">
        <v>153</v>
      </c>
      <c r="B880" s="5" t="s">
        <v>795</v>
      </c>
      <c r="C880" s="5" t="s">
        <v>795</v>
      </c>
      <c r="D880" s="5" t="s">
        <v>1245</v>
      </c>
      <c r="E880" s="5">
        <v>41.728256000000002</v>
      </c>
      <c r="F880" s="5">
        <v>126.183064</v>
      </c>
      <c r="T880" s="5" t="s">
        <v>797</v>
      </c>
      <c r="W880" s="5" t="s">
        <v>44</v>
      </c>
      <c r="AJ880" s="5" t="s">
        <v>2672</v>
      </c>
    </row>
    <row r="881" spans="1:36" x14ac:dyDescent="0.25">
      <c r="A881" s="5" t="s">
        <v>153</v>
      </c>
      <c r="B881" s="5" t="s">
        <v>795</v>
      </c>
      <c r="C881" s="5" t="s">
        <v>795</v>
      </c>
      <c r="D881" s="5" t="s">
        <v>1246</v>
      </c>
      <c r="E881" s="5">
        <v>41.996723000000003</v>
      </c>
      <c r="F881" s="5">
        <v>124.516666</v>
      </c>
      <c r="I881" s="5">
        <v>1976</v>
      </c>
      <c r="T881" s="5" t="s">
        <v>844</v>
      </c>
      <c r="W881" s="5" t="s">
        <v>44</v>
      </c>
      <c r="AJ881" s="5" t="s">
        <v>2672</v>
      </c>
    </row>
    <row r="882" spans="1:36" x14ac:dyDescent="0.25">
      <c r="A882" s="5" t="s">
        <v>153</v>
      </c>
      <c r="B882" s="5" t="s">
        <v>795</v>
      </c>
      <c r="C882" s="5" t="s">
        <v>795</v>
      </c>
      <c r="D882" s="5" t="s">
        <v>1247</v>
      </c>
      <c r="E882" s="5">
        <v>42.011614000000002</v>
      </c>
      <c r="F882" s="5">
        <v>121.70744999999999</v>
      </c>
      <c r="I882" s="5" t="s">
        <v>1248</v>
      </c>
      <c r="T882" s="5" t="s">
        <v>797</v>
      </c>
      <c r="W882" s="5" t="s">
        <v>44</v>
      </c>
      <c r="AJ882" s="5" t="s">
        <v>2672</v>
      </c>
    </row>
    <row r="883" spans="1:36" x14ac:dyDescent="0.25">
      <c r="A883" s="5" t="s">
        <v>153</v>
      </c>
      <c r="B883" s="5" t="s">
        <v>795</v>
      </c>
      <c r="C883" s="5" t="s">
        <v>795</v>
      </c>
      <c r="D883" s="5" t="s">
        <v>1249</v>
      </c>
      <c r="E883" s="5">
        <v>41.909725000000002</v>
      </c>
      <c r="F883" s="5">
        <v>121.56256</v>
      </c>
      <c r="I883" s="5">
        <v>1984</v>
      </c>
      <c r="T883" s="5" t="s">
        <v>797</v>
      </c>
      <c r="W883" s="5" t="s">
        <v>44</v>
      </c>
      <c r="AJ883" s="5" t="s">
        <v>2672</v>
      </c>
    </row>
    <row r="884" spans="1:36" x14ac:dyDescent="0.25">
      <c r="A884" s="5" t="s">
        <v>153</v>
      </c>
      <c r="B884" s="5" t="s">
        <v>795</v>
      </c>
      <c r="C884" s="5" t="s">
        <v>795</v>
      </c>
      <c r="D884" s="5" t="s">
        <v>1250</v>
      </c>
      <c r="E884" s="5">
        <v>41.813471999999997</v>
      </c>
      <c r="F884" s="5">
        <v>120.78563699999999</v>
      </c>
      <c r="I884" s="5">
        <v>1986</v>
      </c>
      <c r="T884" s="5" t="s">
        <v>797</v>
      </c>
      <c r="W884" s="5" t="s">
        <v>44</v>
      </c>
      <c r="AJ884" s="5" t="s">
        <v>2672</v>
      </c>
    </row>
    <row r="885" spans="1:36" x14ac:dyDescent="0.25">
      <c r="A885" s="5" t="s">
        <v>153</v>
      </c>
      <c r="B885" s="5" t="s">
        <v>795</v>
      </c>
      <c r="C885" s="5" t="s">
        <v>795</v>
      </c>
      <c r="D885" s="5" t="s">
        <v>1251</v>
      </c>
      <c r="E885" s="5">
        <v>39.969034000000001</v>
      </c>
      <c r="F885" s="5">
        <v>115.94221400000001</v>
      </c>
      <c r="I885" s="5" t="s">
        <v>1033</v>
      </c>
      <c r="O885" s="5">
        <v>460</v>
      </c>
      <c r="T885" s="5" t="s">
        <v>797</v>
      </c>
      <c r="W885" s="5" t="s">
        <v>44</v>
      </c>
      <c r="AJ885" s="5" t="s">
        <v>2672</v>
      </c>
    </row>
    <row r="886" spans="1:36" x14ac:dyDescent="0.25">
      <c r="A886" s="5" t="s">
        <v>153</v>
      </c>
      <c r="B886" s="5" t="s">
        <v>795</v>
      </c>
      <c r="C886" s="5" t="s">
        <v>795</v>
      </c>
      <c r="D886" s="5" t="s">
        <v>1252</v>
      </c>
      <c r="E886" s="5">
        <v>40.006529</v>
      </c>
      <c r="F886" s="5">
        <v>113.09716899999999</v>
      </c>
      <c r="I886" s="5">
        <v>1984</v>
      </c>
      <c r="O886" s="5">
        <v>240</v>
      </c>
      <c r="T886" s="5" t="s">
        <v>797</v>
      </c>
      <c r="W886" s="5" t="s">
        <v>44</v>
      </c>
      <c r="AJ886" s="5" t="s">
        <v>2672</v>
      </c>
    </row>
    <row r="887" spans="1:36" x14ac:dyDescent="0.25">
      <c r="A887" s="5" t="s">
        <v>153</v>
      </c>
      <c r="B887" s="5" t="s">
        <v>795</v>
      </c>
      <c r="C887" s="5" t="s">
        <v>795</v>
      </c>
      <c r="D887" s="5" t="s">
        <v>1253</v>
      </c>
      <c r="E887" s="5">
        <v>40.024824000000002</v>
      </c>
      <c r="F887" s="5">
        <v>113.151065</v>
      </c>
      <c r="I887" s="5" t="s">
        <v>1254</v>
      </c>
      <c r="O887" s="5">
        <v>250</v>
      </c>
      <c r="T887" s="5" t="s">
        <v>797</v>
      </c>
      <c r="W887" s="5" t="s">
        <v>44</v>
      </c>
      <c r="AJ887" s="5" t="s">
        <v>2672</v>
      </c>
    </row>
    <row r="888" spans="1:36" x14ac:dyDescent="0.25">
      <c r="A888" s="5" t="s">
        <v>153</v>
      </c>
      <c r="B888" s="5" t="s">
        <v>795</v>
      </c>
      <c r="C888" s="5" t="s">
        <v>795</v>
      </c>
      <c r="D888" s="5" t="s">
        <v>1255</v>
      </c>
      <c r="E888" s="5">
        <v>40.013005999999997</v>
      </c>
      <c r="F888" s="5">
        <v>113.103792</v>
      </c>
      <c r="I888" s="5" t="s">
        <v>1256</v>
      </c>
      <c r="O888" s="5">
        <v>250</v>
      </c>
      <c r="T888" s="5" t="s">
        <v>797</v>
      </c>
      <c r="W888" s="5" t="s">
        <v>44</v>
      </c>
      <c r="AJ888" s="5" t="s">
        <v>2672</v>
      </c>
    </row>
    <row r="889" spans="1:36" x14ac:dyDescent="0.25">
      <c r="A889" s="5" t="s">
        <v>153</v>
      </c>
      <c r="B889" s="5" t="s">
        <v>795</v>
      </c>
      <c r="C889" s="5" t="s">
        <v>795</v>
      </c>
      <c r="D889" s="5" t="s">
        <v>1257</v>
      </c>
      <c r="I889" s="5" t="s">
        <v>1000</v>
      </c>
      <c r="O889" s="5">
        <v>400</v>
      </c>
      <c r="T889" s="5" t="s">
        <v>797</v>
      </c>
      <c r="W889" s="5" t="s">
        <v>44</v>
      </c>
      <c r="AJ889" s="5" t="s">
        <v>2672</v>
      </c>
    </row>
    <row r="890" spans="1:36" x14ac:dyDescent="0.25">
      <c r="A890" s="5" t="s">
        <v>153</v>
      </c>
      <c r="B890" s="5" t="s">
        <v>795</v>
      </c>
      <c r="C890" s="5" t="s">
        <v>795</v>
      </c>
      <c r="D890" s="5" t="s">
        <v>1258</v>
      </c>
      <c r="E890" s="5">
        <v>34.965398999999998</v>
      </c>
      <c r="F890" s="5">
        <v>117.03476000000001</v>
      </c>
      <c r="T890" s="5" t="s">
        <v>797</v>
      </c>
      <c r="W890" s="5" t="s">
        <v>44</v>
      </c>
      <c r="AJ890" s="5" t="s">
        <v>2672</v>
      </c>
    </row>
    <row r="891" spans="1:36" x14ac:dyDescent="0.25">
      <c r="A891" s="5" t="s">
        <v>153</v>
      </c>
      <c r="B891" s="5" t="s">
        <v>795</v>
      </c>
      <c r="C891" s="5" t="s">
        <v>795</v>
      </c>
      <c r="D891" s="5" t="s">
        <v>1259</v>
      </c>
      <c r="T891" s="5" t="s">
        <v>797</v>
      </c>
      <c r="W891" s="5" t="s">
        <v>44</v>
      </c>
      <c r="AJ891" s="5" t="s">
        <v>2672</v>
      </c>
    </row>
    <row r="892" spans="1:36" x14ac:dyDescent="0.25">
      <c r="A892" s="5" t="s">
        <v>153</v>
      </c>
      <c r="B892" s="5" t="s">
        <v>795</v>
      </c>
      <c r="C892" s="5" t="s">
        <v>795</v>
      </c>
      <c r="D892" s="5" t="s">
        <v>1260</v>
      </c>
      <c r="E892" s="5">
        <v>33.759917999999999</v>
      </c>
      <c r="F892" s="5">
        <v>113.374217</v>
      </c>
      <c r="T892" s="5" t="s">
        <v>797</v>
      </c>
      <c r="W892" s="5" t="s">
        <v>44</v>
      </c>
      <c r="AJ892" s="5" t="s">
        <v>2672</v>
      </c>
    </row>
    <row r="893" spans="1:36" x14ac:dyDescent="0.25">
      <c r="A893" s="5" t="s">
        <v>153</v>
      </c>
      <c r="B893" s="5" t="s">
        <v>795</v>
      </c>
      <c r="C893" s="5" t="s">
        <v>795</v>
      </c>
      <c r="D893" s="5" t="s">
        <v>1261</v>
      </c>
      <c r="E893" s="5">
        <v>34.329723999999999</v>
      </c>
      <c r="F893" s="5">
        <v>117.331659</v>
      </c>
      <c r="I893" s="5" t="s">
        <v>1262</v>
      </c>
      <c r="O893" s="5">
        <v>590</v>
      </c>
      <c r="T893" s="5" t="s">
        <v>797</v>
      </c>
      <c r="W893" s="5" t="s">
        <v>44</v>
      </c>
      <c r="AJ893" s="5" t="s">
        <v>2693</v>
      </c>
    </row>
    <row r="894" spans="1:36" x14ac:dyDescent="0.25">
      <c r="A894" s="5" t="s">
        <v>153</v>
      </c>
      <c r="B894" s="5" t="s">
        <v>795</v>
      </c>
      <c r="C894" s="5" t="s">
        <v>795</v>
      </c>
      <c r="D894" s="5" t="s">
        <v>1263</v>
      </c>
      <c r="E894" s="5">
        <v>34.332630999999999</v>
      </c>
      <c r="F894" s="5">
        <v>117.40477199999999</v>
      </c>
      <c r="I894" s="5" t="s">
        <v>1264</v>
      </c>
      <c r="T894" s="5" t="s">
        <v>797</v>
      </c>
      <c r="W894" s="5" t="s">
        <v>44</v>
      </c>
      <c r="AJ894" s="5" t="s">
        <v>2694</v>
      </c>
    </row>
    <row r="895" spans="1:36" x14ac:dyDescent="0.25">
      <c r="A895" s="5" t="s">
        <v>153</v>
      </c>
      <c r="B895" s="5" t="s">
        <v>795</v>
      </c>
      <c r="C895" s="5" t="s">
        <v>795</v>
      </c>
      <c r="D895" s="5" t="s">
        <v>1265</v>
      </c>
      <c r="E895" s="5">
        <v>34.341757000000001</v>
      </c>
      <c r="F895" s="5">
        <v>117.105304</v>
      </c>
      <c r="I895" s="5" t="s">
        <v>1266</v>
      </c>
      <c r="O895" s="5">
        <v>1025</v>
      </c>
      <c r="T895" s="5" t="s">
        <v>797</v>
      </c>
      <c r="W895" s="5" t="s">
        <v>44</v>
      </c>
      <c r="AJ895" s="5" t="s">
        <v>2672</v>
      </c>
    </row>
    <row r="896" spans="1:36" x14ac:dyDescent="0.25">
      <c r="A896" s="5" t="s">
        <v>153</v>
      </c>
      <c r="B896" s="5" t="s">
        <v>795</v>
      </c>
      <c r="C896" s="5" t="s">
        <v>795</v>
      </c>
      <c r="D896" s="5" t="s">
        <v>1267</v>
      </c>
      <c r="E896" s="5">
        <v>34.359681999999999</v>
      </c>
      <c r="F896" s="5">
        <v>117.01430499999999</v>
      </c>
      <c r="I896" s="5" t="s">
        <v>1268</v>
      </c>
      <c r="O896" s="5">
        <v>575</v>
      </c>
      <c r="T896" s="5" t="s">
        <v>797</v>
      </c>
      <c r="W896" s="5" t="s">
        <v>44</v>
      </c>
      <c r="AJ896" s="5" t="s">
        <v>2695</v>
      </c>
    </row>
    <row r="897" spans="1:36" x14ac:dyDescent="0.25">
      <c r="A897" s="5" t="s">
        <v>153</v>
      </c>
      <c r="B897" s="5" t="s">
        <v>795</v>
      </c>
      <c r="C897" s="5" t="s">
        <v>795</v>
      </c>
      <c r="D897" s="5" t="s">
        <v>1269</v>
      </c>
      <c r="E897" s="5">
        <v>31.778741</v>
      </c>
      <c r="F897" s="5">
        <v>104.435485</v>
      </c>
      <c r="I897" s="5" t="s">
        <v>987</v>
      </c>
      <c r="T897" s="5" t="s">
        <v>797</v>
      </c>
      <c r="W897" s="5" t="s">
        <v>44</v>
      </c>
      <c r="AJ897" s="5" t="s">
        <v>2672</v>
      </c>
    </row>
    <row r="898" spans="1:36" x14ac:dyDescent="0.25">
      <c r="A898" s="5" t="s">
        <v>153</v>
      </c>
      <c r="B898" s="5" t="s">
        <v>795</v>
      </c>
      <c r="C898" s="5" t="s">
        <v>795</v>
      </c>
      <c r="D898" s="5" t="s">
        <v>1270</v>
      </c>
      <c r="E898" s="5">
        <v>31.485952999999999</v>
      </c>
      <c r="F898" s="5">
        <v>104.132249</v>
      </c>
      <c r="I898" s="5" t="s">
        <v>968</v>
      </c>
      <c r="O898" s="5">
        <v>240</v>
      </c>
      <c r="T898" s="5" t="s">
        <v>797</v>
      </c>
      <c r="W898" s="5" t="s">
        <v>44</v>
      </c>
      <c r="AJ898" s="5" t="s">
        <v>2672</v>
      </c>
    </row>
    <row r="899" spans="1:36" x14ac:dyDescent="0.25">
      <c r="A899" s="5" t="s">
        <v>153</v>
      </c>
      <c r="B899" s="5" t="s">
        <v>795</v>
      </c>
      <c r="C899" s="5" t="s">
        <v>795</v>
      </c>
      <c r="D899" s="5" t="s">
        <v>1271</v>
      </c>
      <c r="E899" s="5">
        <v>28.962166</v>
      </c>
      <c r="F899" s="5">
        <v>106.92568799999999</v>
      </c>
      <c r="I899" s="5" t="s">
        <v>1272</v>
      </c>
      <c r="O899" s="5">
        <v>240</v>
      </c>
      <c r="T899" s="5" t="s">
        <v>797</v>
      </c>
      <c r="W899" s="5" t="s">
        <v>44</v>
      </c>
      <c r="AJ899" s="5" t="s">
        <v>2672</v>
      </c>
    </row>
    <row r="900" spans="1:36" x14ac:dyDescent="0.25">
      <c r="A900" s="5" t="s">
        <v>153</v>
      </c>
      <c r="B900" s="5" t="s">
        <v>795</v>
      </c>
      <c r="C900" s="5" t="s">
        <v>795</v>
      </c>
      <c r="D900" s="5" t="s">
        <v>1273</v>
      </c>
      <c r="E900" s="5">
        <v>28.171766999999999</v>
      </c>
      <c r="F900" s="5">
        <v>115.482848</v>
      </c>
      <c r="I900" s="5" t="s">
        <v>341</v>
      </c>
      <c r="O900" s="5">
        <v>460</v>
      </c>
      <c r="T900" s="5" t="s">
        <v>797</v>
      </c>
      <c r="W900" s="5" t="s">
        <v>44</v>
      </c>
      <c r="AJ900" s="5" t="s">
        <v>2672</v>
      </c>
    </row>
    <row r="901" spans="1:36" x14ac:dyDescent="0.25">
      <c r="A901" s="5" t="s">
        <v>153</v>
      </c>
      <c r="B901" s="5" t="s">
        <v>795</v>
      </c>
      <c r="C901" s="5" t="s">
        <v>795</v>
      </c>
      <c r="D901" s="5" t="s">
        <v>1274</v>
      </c>
      <c r="T901" s="5" t="s">
        <v>1275</v>
      </c>
      <c r="W901" s="5" t="s">
        <v>44</v>
      </c>
      <c r="AJ901" s="5" t="s">
        <v>2672</v>
      </c>
    </row>
    <row r="902" spans="1:36" x14ac:dyDescent="0.25">
      <c r="A902" s="5" t="s">
        <v>153</v>
      </c>
      <c r="B902" s="5" t="s">
        <v>795</v>
      </c>
      <c r="C902" s="5" t="s">
        <v>795</v>
      </c>
      <c r="D902" s="5" t="s">
        <v>1276</v>
      </c>
      <c r="T902" s="5" t="s">
        <v>1277</v>
      </c>
      <c r="W902" s="5" t="s">
        <v>44</v>
      </c>
      <c r="AJ902" s="5" t="s">
        <v>2672</v>
      </c>
    </row>
    <row r="903" spans="1:36" x14ac:dyDescent="0.25">
      <c r="A903" s="5" t="s">
        <v>153</v>
      </c>
      <c r="B903" s="5" t="s">
        <v>795</v>
      </c>
      <c r="C903" s="5" t="s">
        <v>795</v>
      </c>
      <c r="D903" s="5" t="s">
        <v>1278</v>
      </c>
      <c r="I903" s="5" t="s">
        <v>1279</v>
      </c>
      <c r="T903" s="5" t="s">
        <v>1277</v>
      </c>
      <c r="W903" s="5" t="s">
        <v>44</v>
      </c>
      <c r="AJ903" s="5" t="s">
        <v>2672</v>
      </c>
    </row>
    <row r="904" spans="1:36" x14ac:dyDescent="0.25">
      <c r="A904" s="5" t="s">
        <v>153</v>
      </c>
      <c r="B904" s="5" t="s">
        <v>795</v>
      </c>
      <c r="C904" s="5" t="s">
        <v>795</v>
      </c>
      <c r="D904" s="5" t="s">
        <v>1280</v>
      </c>
      <c r="T904" s="5" t="s">
        <v>1277</v>
      </c>
      <c r="W904" s="5" t="s">
        <v>44</v>
      </c>
      <c r="AJ904" s="5" t="s">
        <v>2672</v>
      </c>
    </row>
    <row r="905" spans="1:36" x14ac:dyDescent="0.25">
      <c r="A905" s="5" t="s">
        <v>153</v>
      </c>
      <c r="B905" s="5" t="s">
        <v>795</v>
      </c>
      <c r="C905" s="5" t="s">
        <v>795</v>
      </c>
      <c r="D905" s="5" t="s">
        <v>1281</v>
      </c>
      <c r="T905" s="5" t="s">
        <v>1185</v>
      </c>
      <c r="W905" s="5" t="s">
        <v>44</v>
      </c>
      <c r="AJ905" s="5" t="s">
        <v>2672</v>
      </c>
    </row>
    <row r="906" spans="1:36" x14ac:dyDescent="0.25">
      <c r="A906" s="5" t="s">
        <v>153</v>
      </c>
      <c r="B906" s="5" t="s">
        <v>795</v>
      </c>
      <c r="C906" s="5" t="s">
        <v>795</v>
      </c>
      <c r="D906" s="5" t="s">
        <v>1282</v>
      </c>
      <c r="E906" s="5">
        <v>30.460958999999999</v>
      </c>
      <c r="F906" s="5">
        <v>110.71898400000001</v>
      </c>
      <c r="I906" s="5" t="s">
        <v>1124</v>
      </c>
      <c r="T906" s="5" t="s">
        <v>797</v>
      </c>
      <c r="W906" s="5" t="s">
        <v>44</v>
      </c>
      <c r="AJ906" s="5" t="s">
        <v>2672</v>
      </c>
    </row>
    <row r="907" spans="1:36" x14ac:dyDescent="0.25">
      <c r="A907" s="5" t="s">
        <v>153</v>
      </c>
      <c r="B907" s="5" t="s">
        <v>795</v>
      </c>
      <c r="C907" s="5" t="s">
        <v>795</v>
      </c>
      <c r="D907" s="5" t="s">
        <v>1283</v>
      </c>
      <c r="E907" s="5">
        <v>30.129648</v>
      </c>
      <c r="F907" s="5">
        <v>111.477059</v>
      </c>
      <c r="I907" s="5">
        <v>1963</v>
      </c>
      <c r="T907" s="5" t="s">
        <v>797</v>
      </c>
      <c r="W907" s="5" t="s">
        <v>44</v>
      </c>
      <c r="AJ907" s="5" t="s">
        <v>2672</v>
      </c>
    </row>
    <row r="908" spans="1:36" x14ac:dyDescent="0.25">
      <c r="A908" s="5" t="s">
        <v>153</v>
      </c>
      <c r="B908" s="5" t="s">
        <v>795</v>
      </c>
      <c r="C908" s="5" t="s">
        <v>795</v>
      </c>
      <c r="D908" s="5" t="s">
        <v>1284</v>
      </c>
      <c r="I908" s="5" t="s">
        <v>1285</v>
      </c>
      <c r="T908" s="5" t="s">
        <v>1286</v>
      </c>
      <c r="W908" s="5" t="s">
        <v>44</v>
      </c>
      <c r="AJ908" s="5" t="s">
        <v>2672</v>
      </c>
    </row>
    <row r="909" spans="1:36" x14ac:dyDescent="0.25">
      <c r="A909" s="5" t="s">
        <v>153</v>
      </c>
      <c r="B909" s="5" t="s">
        <v>795</v>
      </c>
      <c r="C909" s="5" t="s">
        <v>795</v>
      </c>
      <c r="D909" s="5" t="s">
        <v>1287</v>
      </c>
      <c r="I909" s="5" t="s">
        <v>1072</v>
      </c>
      <c r="T909" s="5" t="s">
        <v>1286</v>
      </c>
      <c r="W909" s="5" t="s">
        <v>44</v>
      </c>
      <c r="AJ909" s="5" t="s">
        <v>2672</v>
      </c>
    </row>
    <row r="910" spans="1:36" x14ac:dyDescent="0.25">
      <c r="A910" s="5" t="s">
        <v>153</v>
      </c>
      <c r="B910" s="5" t="s">
        <v>795</v>
      </c>
      <c r="C910" s="5" t="s">
        <v>795</v>
      </c>
      <c r="D910" s="5" t="s">
        <v>1288</v>
      </c>
      <c r="T910" s="5" t="s">
        <v>1277</v>
      </c>
      <c r="W910" s="5" t="s">
        <v>44</v>
      </c>
      <c r="AJ910" s="5" t="s">
        <v>2672</v>
      </c>
    </row>
    <row r="911" spans="1:36" x14ac:dyDescent="0.25">
      <c r="A911" s="5" t="s">
        <v>153</v>
      </c>
      <c r="B911" s="5" t="s">
        <v>795</v>
      </c>
      <c r="C911" s="5" t="s">
        <v>795</v>
      </c>
      <c r="D911" s="5" t="s">
        <v>1289</v>
      </c>
      <c r="T911" s="5" t="s">
        <v>1277</v>
      </c>
      <c r="W911" s="5" t="s">
        <v>44</v>
      </c>
      <c r="AJ911" s="5" t="s">
        <v>2672</v>
      </c>
    </row>
    <row r="912" spans="1:36" x14ac:dyDescent="0.25">
      <c r="A912" s="5" t="s">
        <v>153</v>
      </c>
      <c r="B912" s="5" t="s">
        <v>795</v>
      </c>
      <c r="C912" s="5" t="s">
        <v>795</v>
      </c>
      <c r="D912" s="5" t="s">
        <v>1290</v>
      </c>
      <c r="E912" s="5">
        <v>30.932099999999998</v>
      </c>
      <c r="F912" s="5">
        <v>117.78259</v>
      </c>
      <c r="I912" s="5">
        <v>1993</v>
      </c>
      <c r="T912" s="5" t="s">
        <v>844</v>
      </c>
      <c r="W912" s="5" t="s">
        <v>44</v>
      </c>
      <c r="AJ912" s="5" t="s">
        <v>2696</v>
      </c>
    </row>
    <row r="913" spans="1:36" x14ac:dyDescent="0.25">
      <c r="A913" s="5" t="s">
        <v>153</v>
      </c>
      <c r="B913" s="5" t="s">
        <v>795</v>
      </c>
      <c r="C913" s="5" t="s">
        <v>795</v>
      </c>
      <c r="D913" s="5" t="s">
        <v>1291</v>
      </c>
      <c r="E913" s="5">
        <v>47.256</v>
      </c>
      <c r="F913" s="5">
        <v>130.274</v>
      </c>
      <c r="I913" s="5" t="s">
        <v>1292</v>
      </c>
      <c r="O913" s="5">
        <v>400</v>
      </c>
      <c r="T913" s="5" t="s">
        <v>797</v>
      </c>
      <c r="W913" s="5" t="s">
        <v>44</v>
      </c>
      <c r="AJ913" s="5" t="s">
        <v>2680</v>
      </c>
    </row>
    <row r="914" spans="1:36" x14ac:dyDescent="0.25">
      <c r="A914" s="5" t="s">
        <v>153</v>
      </c>
      <c r="B914" s="5" t="s">
        <v>795</v>
      </c>
      <c r="C914" s="5" t="s">
        <v>795</v>
      </c>
      <c r="D914" s="5" t="s">
        <v>1293</v>
      </c>
      <c r="E914" s="5">
        <v>44.151000000000003</v>
      </c>
      <c r="F914" s="5">
        <v>125.943</v>
      </c>
      <c r="I914" s="5" t="s">
        <v>1294</v>
      </c>
      <c r="T914" s="5" t="s">
        <v>797</v>
      </c>
      <c r="W914" s="5" t="s">
        <v>44</v>
      </c>
      <c r="AJ914" s="5" t="s">
        <v>2680</v>
      </c>
    </row>
    <row r="915" spans="1:36" x14ac:dyDescent="0.25">
      <c r="A915" s="5" t="s">
        <v>153</v>
      </c>
      <c r="B915" s="5" t="s">
        <v>795</v>
      </c>
      <c r="C915" s="5" t="s">
        <v>795</v>
      </c>
      <c r="D915" s="5" t="s">
        <v>1295</v>
      </c>
      <c r="E915" s="5">
        <v>42.95</v>
      </c>
      <c r="F915" s="5">
        <v>125.16200000000001</v>
      </c>
      <c r="I915" s="5" t="s">
        <v>1296</v>
      </c>
      <c r="O915" s="5">
        <v>340</v>
      </c>
      <c r="T915" s="5" t="s">
        <v>797</v>
      </c>
      <c r="W915" s="5" t="s">
        <v>44</v>
      </c>
      <c r="AJ915" s="5" t="s">
        <v>2680</v>
      </c>
    </row>
    <row r="916" spans="1:36" x14ac:dyDescent="0.25">
      <c r="A916" s="5" t="s">
        <v>153</v>
      </c>
      <c r="B916" s="5" t="s">
        <v>795</v>
      </c>
      <c r="C916" s="5" t="s">
        <v>795</v>
      </c>
      <c r="D916" s="5" t="s">
        <v>2697</v>
      </c>
      <c r="E916" s="5">
        <v>42.962000000000003</v>
      </c>
      <c r="F916" s="5">
        <v>125.11199999999999</v>
      </c>
      <c r="I916" s="5">
        <v>1955</v>
      </c>
      <c r="T916" s="5" t="s">
        <v>797</v>
      </c>
      <c r="W916" s="5" t="s">
        <v>44</v>
      </c>
      <c r="AJ916" s="5" t="s">
        <v>2680</v>
      </c>
    </row>
    <row r="917" spans="1:36" x14ac:dyDescent="0.25">
      <c r="A917" s="5" t="s">
        <v>153</v>
      </c>
      <c r="B917" s="5" t="s">
        <v>795</v>
      </c>
      <c r="C917" s="5" t="s">
        <v>795</v>
      </c>
      <c r="D917" s="5" t="s">
        <v>2698</v>
      </c>
      <c r="E917" s="5">
        <v>41.335999999999999</v>
      </c>
      <c r="F917" s="5">
        <v>123.919</v>
      </c>
      <c r="I917" s="5" t="s">
        <v>1297</v>
      </c>
      <c r="T917" s="5" t="s">
        <v>797</v>
      </c>
      <c r="W917" s="5" t="s">
        <v>44</v>
      </c>
      <c r="AJ917" s="5" t="s">
        <v>2680</v>
      </c>
    </row>
    <row r="918" spans="1:36" x14ac:dyDescent="0.25">
      <c r="A918" s="5" t="s">
        <v>153</v>
      </c>
      <c r="B918" s="5" t="s">
        <v>795</v>
      </c>
      <c r="C918" s="5" t="s">
        <v>795</v>
      </c>
      <c r="D918" s="5" t="s">
        <v>1298</v>
      </c>
      <c r="E918" s="5">
        <v>40.776000000000003</v>
      </c>
      <c r="F918" s="5">
        <v>119.76900000000001</v>
      </c>
      <c r="I918" s="5" t="s">
        <v>1299</v>
      </c>
      <c r="T918" s="5" t="s">
        <v>797</v>
      </c>
      <c r="W918" s="5" t="s">
        <v>44</v>
      </c>
      <c r="AJ918" s="5" t="s">
        <v>2680</v>
      </c>
    </row>
    <row r="919" spans="1:36" x14ac:dyDescent="0.25">
      <c r="A919" s="5" t="s">
        <v>153</v>
      </c>
      <c r="B919" s="5" t="s">
        <v>795</v>
      </c>
      <c r="C919" s="5" t="s">
        <v>795</v>
      </c>
      <c r="D919" s="5" t="s">
        <v>2699</v>
      </c>
      <c r="E919" s="5">
        <v>39.731999999999999</v>
      </c>
      <c r="F919" s="5">
        <v>115.879</v>
      </c>
      <c r="I919" s="5" t="s">
        <v>1300</v>
      </c>
      <c r="T919" s="5" t="s">
        <v>797</v>
      </c>
      <c r="W919" s="5" t="s">
        <v>44</v>
      </c>
      <c r="AJ919" s="5" t="s">
        <v>2680</v>
      </c>
    </row>
    <row r="920" spans="1:36" x14ac:dyDescent="0.25">
      <c r="A920" s="5" t="s">
        <v>153</v>
      </c>
      <c r="B920" s="5" t="s">
        <v>795</v>
      </c>
      <c r="C920" s="5" t="s">
        <v>795</v>
      </c>
      <c r="D920" s="5" t="s">
        <v>1301</v>
      </c>
      <c r="E920" s="5">
        <v>39.938000000000002</v>
      </c>
      <c r="F920" s="5">
        <v>115.91800000000001</v>
      </c>
      <c r="I920" s="5" t="s">
        <v>1300</v>
      </c>
      <c r="T920" s="5" t="s">
        <v>797</v>
      </c>
      <c r="W920" s="5" t="s">
        <v>44</v>
      </c>
      <c r="AJ920" s="5" t="s">
        <v>2680</v>
      </c>
    </row>
    <row r="921" spans="1:36" x14ac:dyDescent="0.25">
      <c r="A921" s="5" t="s">
        <v>153</v>
      </c>
      <c r="B921" s="5" t="s">
        <v>795</v>
      </c>
      <c r="C921" s="5" t="s">
        <v>795</v>
      </c>
      <c r="D921" s="5" t="s">
        <v>2700</v>
      </c>
      <c r="E921" s="5">
        <v>39.652999999999999</v>
      </c>
      <c r="F921" s="5">
        <v>118.19799999999999</v>
      </c>
      <c r="I921" s="5" t="s">
        <v>1302</v>
      </c>
      <c r="O921" s="5">
        <v>580</v>
      </c>
      <c r="T921" s="5" t="s">
        <v>797</v>
      </c>
      <c r="W921" s="5" t="s">
        <v>44</v>
      </c>
      <c r="AJ921" s="5" t="s">
        <v>2680</v>
      </c>
    </row>
    <row r="922" spans="1:36" x14ac:dyDescent="0.25">
      <c r="A922" s="5" t="s">
        <v>153</v>
      </c>
      <c r="B922" s="5" t="s">
        <v>795</v>
      </c>
      <c r="C922" s="5" t="s">
        <v>795</v>
      </c>
      <c r="D922" s="5" t="s">
        <v>2701</v>
      </c>
      <c r="E922" s="5">
        <v>36.298000000000002</v>
      </c>
      <c r="F922" s="5">
        <v>114.078</v>
      </c>
      <c r="T922" s="5" t="s">
        <v>797</v>
      </c>
      <c r="W922" s="5" t="s">
        <v>44</v>
      </c>
      <c r="AJ922" s="5" t="s">
        <v>2680</v>
      </c>
    </row>
    <row r="923" spans="1:36" x14ac:dyDescent="0.25">
      <c r="A923" s="5" t="s">
        <v>153</v>
      </c>
      <c r="B923" s="5" t="s">
        <v>795</v>
      </c>
      <c r="C923" s="5" t="s">
        <v>795</v>
      </c>
      <c r="D923" s="5" t="s">
        <v>1303</v>
      </c>
      <c r="E923" s="5">
        <v>40.106000000000002</v>
      </c>
      <c r="F923" s="5">
        <v>113.304</v>
      </c>
      <c r="I923" s="5" t="s">
        <v>1304</v>
      </c>
      <c r="O923" s="5">
        <v>250</v>
      </c>
      <c r="T923" s="5" t="s">
        <v>797</v>
      </c>
      <c r="W923" s="5" t="s">
        <v>44</v>
      </c>
      <c r="AJ923" s="5" t="s">
        <v>2680</v>
      </c>
    </row>
    <row r="924" spans="1:36" x14ac:dyDescent="0.25">
      <c r="A924" s="5" t="s">
        <v>153</v>
      </c>
      <c r="B924" s="5" t="s">
        <v>795</v>
      </c>
      <c r="C924" s="5" t="s">
        <v>795</v>
      </c>
      <c r="D924" s="5" t="s">
        <v>2702</v>
      </c>
      <c r="E924" s="5">
        <v>35.883000000000003</v>
      </c>
      <c r="F924" s="5">
        <v>117.64400000000001</v>
      </c>
      <c r="I924" s="5" t="s">
        <v>1307</v>
      </c>
      <c r="O924" s="5">
        <v>720</v>
      </c>
      <c r="T924" s="5" t="s">
        <v>797</v>
      </c>
      <c r="W924" s="5" t="s">
        <v>44</v>
      </c>
      <c r="AJ924" s="5" t="s">
        <v>2680</v>
      </c>
    </row>
    <row r="925" spans="1:36" x14ac:dyDescent="0.25">
      <c r="A925" s="5" t="s">
        <v>153</v>
      </c>
      <c r="B925" s="5" t="s">
        <v>795</v>
      </c>
      <c r="C925" s="5" t="s">
        <v>795</v>
      </c>
      <c r="D925" s="5" t="s">
        <v>2703</v>
      </c>
      <c r="E925" s="5">
        <v>35.823999999999998</v>
      </c>
      <c r="F925" s="5">
        <v>117.752</v>
      </c>
      <c r="I925" s="5" t="s">
        <v>1308</v>
      </c>
      <c r="O925" s="5">
        <v>509</v>
      </c>
      <c r="T925" s="5" t="s">
        <v>797</v>
      </c>
      <c r="W925" s="5" t="s">
        <v>44</v>
      </c>
      <c r="AJ925" s="5" t="s">
        <v>2680</v>
      </c>
    </row>
    <row r="926" spans="1:36" x14ac:dyDescent="0.25">
      <c r="A926" s="5" t="s">
        <v>153</v>
      </c>
      <c r="B926" s="5" t="s">
        <v>795</v>
      </c>
      <c r="C926" s="5" t="s">
        <v>795</v>
      </c>
      <c r="D926" s="5" t="s">
        <v>1309</v>
      </c>
      <c r="E926" s="5">
        <v>36.125</v>
      </c>
      <c r="F926" s="5">
        <v>117.736</v>
      </c>
      <c r="I926" s="5" t="s">
        <v>1072</v>
      </c>
      <c r="T926" s="5" t="s">
        <v>797</v>
      </c>
      <c r="W926" s="5" t="s">
        <v>44</v>
      </c>
      <c r="AJ926" s="5" t="s">
        <v>2680</v>
      </c>
    </row>
    <row r="927" spans="1:36" x14ac:dyDescent="0.25">
      <c r="A927" s="5" t="s">
        <v>153</v>
      </c>
      <c r="B927" s="5" t="s">
        <v>795</v>
      </c>
      <c r="C927" s="5" t="s">
        <v>795</v>
      </c>
      <c r="D927" s="5" t="s">
        <v>2704</v>
      </c>
      <c r="E927" s="5">
        <v>35.435000000000002</v>
      </c>
      <c r="F927" s="5">
        <v>116.883</v>
      </c>
      <c r="I927" s="5" t="s">
        <v>1310</v>
      </c>
      <c r="T927" s="5" t="s">
        <v>797</v>
      </c>
      <c r="W927" s="5" t="s">
        <v>44</v>
      </c>
      <c r="AJ927" s="5" t="s">
        <v>2680</v>
      </c>
    </row>
    <row r="928" spans="1:36" x14ac:dyDescent="0.25">
      <c r="A928" s="5" t="s">
        <v>153</v>
      </c>
      <c r="B928" s="5" t="s">
        <v>795</v>
      </c>
      <c r="C928" s="5" t="s">
        <v>795</v>
      </c>
      <c r="D928" s="5" t="s">
        <v>2705</v>
      </c>
      <c r="E928" s="5">
        <v>35.283999999999999</v>
      </c>
      <c r="F928" s="5">
        <v>116.843</v>
      </c>
      <c r="I928" s="5">
        <v>1963</v>
      </c>
      <c r="T928" s="5" t="s">
        <v>797</v>
      </c>
      <c r="W928" s="5" t="s">
        <v>44</v>
      </c>
      <c r="AJ928" s="5" t="s">
        <v>2680</v>
      </c>
    </row>
    <row r="929" spans="1:36" x14ac:dyDescent="0.25">
      <c r="A929" s="5" t="s">
        <v>153</v>
      </c>
      <c r="B929" s="5" t="s">
        <v>795</v>
      </c>
      <c r="C929" s="5" t="s">
        <v>795</v>
      </c>
      <c r="D929" s="5" t="s">
        <v>1311</v>
      </c>
      <c r="E929" s="5">
        <v>35.360999999999997</v>
      </c>
      <c r="F929" s="5">
        <v>116.596</v>
      </c>
      <c r="T929" s="5" t="s">
        <v>797</v>
      </c>
      <c r="W929" s="5" t="s">
        <v>44</v>
      </c>
      <c r="AJ929" s="5" t="s">
        <v>2680</v>
      </c>
    </row>
    <row r="930" spans="1:36" x14ac:dyDescent="0.25">
      <c r="A930" s="5" t="s">
        <v>153</v>
      </c>
      <c r="B930" s="5" t="s">
        <v>795</v>
      </c>
      <c r="C930" s="5" t="s">
        <v>795</v>
      </c>
      <c r="D930" s="5" t="s">
        <v>1312</v>
      </c>
      <c r="E930" s="5">
        <v>34.718000000000004</v>
      </c>
      <c r="F930" s="5">
        <v>111.883</v>
      </c>
      <c r="I930" s="5" t="s">
        <v>1313</v>
      </c>
      <c r="T930" s="5" t="s">
        <v>797</v>
      </c>
      <c r="W930" s="5" t="s">
        <v>44</v>
      </c>
      <c r="AJ930" s="5" t="s">
        <v>2706</v>
      </c>
    </row>
    <row r="931" spans="1:36" x14ac:dyDescent="0.25">
      <c r="A931" s="5" t="s">
        <v>153</v>
      </c>
      <c r="B931" s="5" t="s">
        <v>795</v>
      </c>
      <c r="C931" s="5" t="s">
        <v>795</v>
      </c>
      <c r="D931" s="5" t="s">
        <v>1314</v>
      </c>
      <c r="E931" s="5">
        <v>34.881</v>
      </c>
      <c r="F931" s="5">
        <v>116.91200000000001</v>
      </c>
      <c r="I931" s="5" t="s">
        <v>1315</v>
      </c>
      <c r="O931" s="5">
        <v>610</v>
      </c>
      <c r="T931" s="5" t="s">
        <v>797</v>
      </c>
      <c r="W931" s="5" t="s">
        <v>44</v>
      </c>
      <c r="AJ931" s="5" t="s">
        <v>2680</v>
      </c>
    </row>
    <row r="932" spans="1:36" x14ac:dyDescent="0.25">
      <c r="A932" s="5" t="s">
        <v>153</v>
      </c>
      <c r="B932" s="5" t="s">
        <v>795</v>
      </c>
      <c r="C932" s="5" t="s">
        <v>795</v>
      </c>
      <c r="D932" s="5" t="s">
        <v>1316</v>
      </c>
      <c r="E932" s="5">
        <v>34.783999999999999</v>
      </c>
      <c r="F932" s="5">
        <v>116.95399999999999</v>
      </c>
      <c r="I932" s="5" t="s">
        <v>355</v>
      </c>
      <c r="O932" s="5">
        <v>550</v>
      </c>
      <c r="T932" s="5" t="s">
        <v>797</v>
      </c>
      <c r="W932" s="5" t="s">
        <v>44</v>
      </c>
      <c r="AJ932" s="5" t="s">
        <v>2680</v>
      </c>
    </row>
    <row r="933" spans="1:36" x14ac:dyDescent="0.25">
      <c r="A933" s="5" t="s">
        <v>153</v>
      </c>
      <c r="B933" s="5" t="s">
        <v>795</v>
      </c>
      <c r="C933" s="5" t="s">
        <v>795</v>
      </c>
      <c r="D933" s="5" t="s">
        <v>1317</v>
      </c>
      <c r="E933" s="5">
        <v>39.85</v>
      </c>
      <c r="F933" s="5">
        <v>114.30200000000001</v>
      </c>
      <c r="I933" s="5" t="s">
        <v>1318</v>
      </c>
      <c r="T933" s="5" t="s">
        <v>797</v>
      </c>
      <c r="W933" s="5" t="s">
        <v>44</v>
      </c>
      <c r="AJ933" s="5" t="s">
        <v>2680</v>
      </c>
    </row>
    <row r="934" spans="1:36" x14ac:dyDescent="0.25">
      <c r="A934" s="5" t="s">
        <v>153</v>
      </c>
      <c r="B934" s="5" t="s">
        <v>795</v>
      </c>
      <c r="C934" s="5" t="s">
        <v>795</v>
      </c>
      <c r="D934" s="5" t="s">
        <v>1319</v>
      </c>
      <c r="E934" s="5">
        <v>28.913</v>
      </c>
      <c r="F934" s="5">
        <v>106.76900000000001</v>
      </c>
      <c r="I934" s="5" t="s">
        <v>1294</v>
      </c>
      <c r="T934" s="5" t="s">
        <v>797</v>
      </c>
      <c r="W934" s="5" t="s">
        <v>44</v>
      </c>
      <c r="AJ934" s="5" t="s">
        <v>2680</v>
      </c>
    </row>
    <row r="935" spans="1:36" x14ac:dyDescent="0.25">
      <c r="A935" s="5" t="s">
        <v>153</v>
      </c>
      <c r="B935" s="5" t="s">
        <v>795</v>
      </c>
      <c r="C935" s="5" t="s">
        <v>795</v>
      </c>
      <c r="D935" s="5" t="s">
        <v>1320</v>
      </c>
      <c r="E935" s="5">
        <v>27.919</v>
      </c>
      <c r="F935" s="5">
        <v>114.979</v>
      </c>
      <c r="I935" s="5" t="s">
        <v>1321</v>
      </c>
      <c r="T935" s="5" t="s">
        <v>797</v>
      </c>
      <c r="W935" s="5" t="s">
        <v>44</v>
      </c>
      <c r="AJ935" s="5" t="s">
        <v>2680</v>
      </c>
    </row>
    <row r="936" spans="1:36" x14ac:dyDescent="0.25">
      <c r="A936" s="5" t="s">
        <v>153</v>
      </c>
      <c r="B936" s="5" t="s">
        <v>795</v>
      </c>
      <c r="C936" s="5" t="s">
        <v>795</v>
      </c>
      <c r="D936" s="5" t="s">
        <v>1322</v>
      </c>
      <c r="E936" s="5">
        <v>29.558</v>
      </c>
      <c r="F936" s="5">
        <v>114.87</v>
      </c>
      <c r="I936" s="5">
        <v>1987</v>
      </c>
      <c r="T936" s="5" t="s">
        <v>797</v>
      </c>
      <c r="W936" s="5" t="s">
        <v>44</v>
      </c>
      <c r="AJ936" s="5" t="s">
        <v>2680</v>
      </c>
    </row>
    <row r="937" spans="1:36" x14ac:dyDescent="0.25">
      <c r="A937" s="5" t="s">
        <v>149</v>
      </c>
      <c r="B937" s="5" t="s">
        <v>795</v>
      </c>
      <c r="C937" s="5" t="s">
        <v>825</v>
      </c>
      <c r="D937" s="5" t="s">
        <v>1323</v>
      </c>
      <c r="E937" s="5">
        <v>59.428111999999999</v>
      </c>
      <c r="F937" s="5">
        <v>56.758294999999997</v>
      </c>
      <c r="L937" s="5" t="s">
        <v>1324</v>
      </c>
      <c r="T937" s="5" t="s">
        <v>802</v>
      </c>
      <c r="U937" s="5" t="s">
        <v>1325</v>
      </c>
      <c r="V937" s="5" t="s">
        <v>1326</v>
      </c>
      <c r="W937" s="5" t="s">
        <v>44</v>
      </c>
      <c r="AJ937" s="5" t="s">
        <v>1327</v>
      </c>
    </row>
    <row r="938" spans="1:36" x14ac:dyDescent="0.25">
      <c r="A938" s="5" t="s">
        <v>550</v>
      </c>
      <c r="B938" s="5" t="s">
        <v>795</v>
      </c>
      <c r="C938" s="5" t="s">
        <v>795</v>
      </c>
      <c r="D938" s="5" t="s">
        <v>1328</v>
      </c>
      <c r="E938" s="5">
        <v>-22.92952</v>
      </c>
      <c r="F938" s="5">
        <v>148.55726200000001</v>
      </c>
      <c r="L938" s="5">
        <v>152</v>
      </c>
      <c r="W938" s="5" t="s">
        <v>44</v>
      </c>
      <c r="AJ938" s="5" t="s">
        <v>1329</v>
      </c>
    </row>
    <row r="939" spans="1:36" x14ac:dyDescent="0.25">
      <c r="A939" s="5" t="s">
        <v>1330</v>
      </c>
      <c r="B939" s="5" t="s">
        <v>795</v>
      </c>
      <c r="C939" s="5" t="s">
        <v>795</v>
      </c>
      <c r="D939" s="5" t="s">
        <v>1331</v>
      </c>
      <c r="E939" s="5">
        <v>-34.088110999999998</v>
      </c>
      <c r="F939" s="5">
        <v>-70.387917000000002</v>
      </c>
      <c r="P939" s="7" t="s">
        <v>1332</v>
      </c>
      <c r="T939" s="5" t="s">
        <v>844</v>
      </c>
      <c r="W939" s="5" t="s">
        <v>73</v>
      </c>
      <c r="AJ939" s="5" t="s">
        <v>1333</v>
      </c>
    </row>
    <row r="940" spans="1:36" x14ac:dyDescent="0.25">
      <c r="A940" s="5" t="s">
        <v>678</v>
      </c>
      <c r="B940" s="5" t="s">
        <v>795</v>
      </c>
      <c r="C940" s="5" t="s">
        <v>795</v>
      </c>
      <c r="D940" s="5" t="s">
        <v>1334</v>
      </c>
      <c r="E940" s="5">
        <v>43.222501999999999</v>
      </c>
      <c r="F940" s="5">
        <v>141.903739</v>
      </c>
      <c r="U940" s="5" t="s">
        <v>1335</v>
      </c>
      <c r="V940" s="5" t="s">
        <v>1336</v>
      </c>
      <c r="W940" s="5" t="s">
        <v>73</v>
      </c>
      <c r="AI940" s="5" t="s">
        <v>1337</v>
      </c>
      <c r="AJ940" s="5" t="s">
        <v>1338</v>
      </c>
    </row>
    <row r="941" spans="1:36" x14ac:dyDescent="0.25">
      <c r="A941" s="5" t="s">
        <v>291</v>
      </c>
      <c r="B941" s="5" t="s">
        <v>795</v>
      </c>
      <c r="C941" s="5" t="s">
        <v>1339</v>
      </c>
      <c r="D941" s="5" t="s">
        <v>1340</v>
      </c>
      <c r="I941" s="5" t="s">
        <v>889</v>
      </c>
      <c r="W941" s="5" t="s">
        <v>44</v>
      </c>
      <c r="AJ941" s="5" t="s">
        <v>1341</v>
      </c>
    </row>
    <row r="942" spans="1:36" x14ac:dyDescent="0.25">
      <c r="A942" s="5" t="s">
        <v>729</v>
      </c>
      <c r="B942" s="5" t="s">
        <v>795</v>
      </c>
      <c r="C942" s="5" t="s">
        <v>1339</v>
      </c>
      <c r="D942" s="5" t="s">
        <v>1342</v>
      </c>
      <c r="I942" s="5" t="s">
        <v>889</v>
      </c>
      <c r="W942" s="5" t="s">
        <v>44</v>
      </c>
      <c r="AJ942" s="5" t="s">
        <v>1341</v>
      </c>
    </row>
    <row r="943" spans="1:36" x14ac:dyDescent="0.25">
      <c r="A943" s="5" t="s">
        <v>1343</v>
      </c>
      <c r="B943" s="5" t="s">
        <v>795</v>
      </c>
      <c r="C943" s="5" t="s">
        <v>1339</v>
      </c>
      <c r="D943" s="5" t="s">
        <v>1344</v>
      </c>
      <c r="E943" s="5">
        <v>46.272160999999997</v>
      </c>
      <c r="F943" s="5">
        <v>8.0976959999999991</v>
      </c>
      <c r="W943" s="5" t="s">
        <v>44</v>
      </c>
      <c r="AJ943" s="5" t="s">
        <v>1341</v>
      </c>
    </row>
    <row r="944" spans="1:36" x14ac:dyDescent="0.25">
      <c r="A944" s="5" t="s">
        <v>678</v>
      </c>
      <c r="B944" s="5" t="s">
        <v>795</v>
      </c>
      <c r="C944" s="5" t="s">
        <v>1339</v>
      </c>
      <c r="D944" s="5" t="s">
        <v>1345</v>
      </c>
      <c r="E944" s="5">
        <v>36.810361</v>
      </c>
      <c r="F944" s="5">
        <v>138.98797999999999</v>
      </c>
      <c r="W944" s="5" t="s">
        <v>73</v>
      </c>
      <c r="AJ944" s="5" t="s">
        <v>1341</v>
      </c>
    </row>
    <row r="945" spans="1:36" x14ac:dyDescent="0.25">
      <c r="A945" s="5" t="s">
        <v>678</v>
      </c>
      <c r="B945" s="5" t="s">
        <v>795</v>
      </c>
      <c r="C945" s="5" t="s">
        <v>1339</v>
      </c>
      <c r="D945" s="5" t="s">
        <v>1346</v>
      </c>
      <c r="E945" s="5">
        <v>36.817677000000003</v>
      </c>
      <c r="F945" s="5">
        <v>138.910561</v>
      </c>
      <c r="W945" s="5" t="s">
        <v>73</v>
      </c>
      <c r="AJ945" s="5" t="s">
        <v>1341</v>
      </c>
    </row>
    <row r="946" spans="1:36" x14ac:dyDescent="0.25">
      <c r="A946" s="5" t="s">
        <v>729</v>
      </c>
      <c r="B946" s="5" t="s">
        <v>795</v>
      </c>
      <c r="C946" s="5" t="s">
        <v>1339</v>
      </c>
      <c r="D946" s="5" t="s">
        <v>1347</v>
      </c>
      <c r="E946" s="5">
        <v>60.404293000000003</v>
      </c>
      <c r="F946" s="5">
        <v>18.171118</v>
      </c>
      <c r="W946" s="5" t="s">
        <v>44</v>
      </c>
      <c r="AJ946" s="5" t="s">
        <v>1341</v>
      </c>
    </row>
    <row r="947" spans="1:36" x14ac:dyDescent="0.25">
      <c r="A947" s="5" t="s">
        <v>729</v>
      </c>
      <c r="B947" s="5" t="s">
        <v>795</v>
      </c>
      <c r="C947" s="5" t="s">
        <v>1339</v>
      </c>
      <c r="D947" s="5" t="s">
        <v>1348</v>
      </c>
      <c r="E947" s="5">
        <v>67.722256000000002</v>
      </c>
      <c r="F947" s="5">
        <v>17.465391</v>
      </c>
      <c r="T947" s="5" t="s">
        <v>1349</v>
      </c>
      <c r="V947" s="5">
        <v>130</v>
      </c>
      <c r="W947" s="5" t="s">
        <v>44</v>
      </c>
      <c r="AJ947" s="5" t="s">
        <v>1341</v>
      </c>
    </row>
    <row r="948" spans="1:36" x14ac:dyDescent="0.25">
      <c r="A948" s="5" t="s">
        <v>417</v>
      </c>
      <c r="B948" s="5" t="s">
        <v>795</v>
      </c>
      <c r="C948" s="5" t="s">
        <v>831</v>
      </c>
      <c r="D948" s="5" t="s">
        <v>1350</v>
      </c>
      <c r="E948" s="5">
        <v>36.005685999999997</v>
      </c>
      <c r="F948" s="5">
        <v>43.299106000000002</v>
      </c>
      <c r="G948" s="5">
        <v>1972</v>
      </c>
      <c r="I948" s="5">
        <v>1973</v>
      </c>
      <c r="L948" s="5">
        <v>34</v>
      </c>
      <c r="T948" s="5" t="s">
        <v>1351</v>
      </c>
      <c r="V948" s="5" t="s">
        <v>1352</v>
      </c>
      <c r="W948" s="5" t="s">
        <v>73</v>
      </c>
      <c r="AE948" s="5">
        <v>0.8</v>
      </c>
      <c r="AJ948" s="5" t="s">
        <v>1353</v>
      </c>
    </row>
    <row r="949" spans="1:36" x14ac:dyDescent="0.25">
      <c r="A949" s="5" t="s">
        <v>153</v>
      </c>
      <c r="B949" s="5" t="s">
        <v>795</v>
      </c>
      <c r="C949" s="5" t="s">
        <v>1339</v>
      </c>
      <c r="D949" s="5" t="s">
        <v>1357</v>
      </c>
      <c r="E949" s="5">
        <v>31.062708000000001</v>
      </c>
      <c r="F949" s="5">
        <v>103.40076999999999</v>
      </c>
      <c r="L949" s="5" t="s">
        <v>1358</v>
      </c>
      <c r="O949" s="5" t="s">
        <v>1359</v>
      </c>
      <c r="R949" s="5">
        <v>25</v>
      </c>
      <c r="S949" s="5">
        <v>25</v>
      </c>
      <c r="T949" s="5" t="s">
        <v>1360</v>
      </c>
      <c r="U949" s="5">
        <v>600</v>
      </c>
      <c r="V949" s="5" t="s">
        <v>1361</v>
      </c>
      <c r="W949" s="5" t="s">
        <v>44</v>
      </c>
      <c r="AJ949" s="5" t="s">
        <v>2692</v>
      </c>
    </row>
    <row r="950" spans="1:36" x14ac:dyDescent="0.25">
      <c r="A950" s="5" t="s">
        <v>153</v>
      </c>
      <c r="B950" s="5" t="s">
        <v>795</v>
      </c>
      <c r="C950" s="5" t="s">
        <v>1339</v>
      </c>
      <c r="D950" s="5" t="s">
        <v>1362</v>
      </c>
      <c r="E950" s="5">
        <v>29.847014000000001</v>
      </c>
      <c r="F950" s="5">
        <v>102.29016300000001</v>
      </c>
      <c r="L950" s="5" t="s">
        <v>1363</v>
      </c>
      <c r="O950" s="5" t="s">
        <v>1364</v>
      </c>
      <c r="R950" s="5" t="s">
        <v>1206</v>
      </c>
      <c r="S950" s="8"/>
      <c r="T950" s="5" t="s">
        <v>1365</v>
      </c>
      <c r="U950" s="5" t="s">
        <v>1364</v>
      </c>
      <c r="V950" s="5" t="s">
        <v>1366</v>
      </c>
      <c r="W950" s="5" t="s">
        <v>44</v>
      </c>
      <c r="AJ950" s="5" t="s">
        <v>2692</v>
      </c>
    </row>
    <row r="951" spans="1:36" x14ac:dyDescent="0.25">
      <c r="A951" s="5" t="s">
        <v>153</v>
      </c>
      <c r="B951" s="5" t="s">
        <v>795</v>
      </c>
      <c r="C951" s="5" t="s">
        <v>1339</v>
      </c>
      <c r="D951" s="5" t="s">
        <v>1367</v>
      </c>
      <c r="E951" s="5">
        <v>33.338852000000003</v>
      </c>
      <c r="F951" s="5">
        <v>105.027917</v>
      </c>
      <c r="L951" s="5">
        <v>43</v>
      </c>
      <c r="O951" s="5" t="s">
        <v>1368</v>
      </c>
      <c r="S951" s="8" t="s">
        <v>1369</v>
      </c>
      <c r="T951" s="5" t="s">
        <v>1370</v>
      </c>
      <c r="U951" s="5" t="s">
        <v>1368</v>
      </c>
      <c r="V951" s="5" t="s">
        <v>1371</v>
      </c>
      <c r="W951" s="5" t="s">
        <v>44</v>
      </c>
      <c r="AJ951" s="5" t="s">
        <v>2692</v>
      </c>
    </row>
    <row r="952" spans="1:36" x14ac:dyDescent="0.25">
      <c r="A952" s="5" t="s">
        <v>153</v>
      </c>
      <c r="B952" s="5" t="s">
        <v>795</v>
      </c>
      <c r="C952" s="5" t="s">
        <v>1339</v>
      </c>
      <c r="D952" s="5" t="s">
        <v>1372</v>
      </c>
      <c r="E952" s="5">
        <v>28.752976</v>
      </c>
      <c r="F952" s="5">
        <v>120.36633999999999</v>
      </c>
      <c r="L952" s="5">
        <v>20</v>
      </c>
      <c r="O952" s="5">
        <v>800</v>
      </c>
      <c r="S952" s="8" t="s">
        <v>2002</v>
      </c>
      <c r="T952" s="5" t="s">
        <v>1373</v>
      </c>
      <c r="U952" s="5">
        <v>768</v>
      </c>
      <c r="V952" s="5" t="s">
        <v>1374</v>
      </c>
      <c r="W952" s="5" t="s">
        <v>966</v>
      </c>
      <c r="AJ952" s="5" t="s">
        <v>2692</v>
      </c>
    </row>
    <row r="953" spans="1:36" x14ac:dyDescent="0.25">
      <c r="A953" s="5" t="s">
        <v>153</v>
      </c>
      <c r="B953" s="5" t="s">
        <v>795</v>
      </c>
      <c r="C953" s="5" t="s">
        <v>1339</v>
      </c>
      <c r="D953" s="5" t="s">
        <v>1375</v>
      </c>
      <c r="E953" s="5">
        <v>29.208932000000001</v>
      </c>
      <c r="F953" s="5">
        <v>102.83809599999999</v>
      </c>
      <c r="L953" s="5">
        <v>183</v>
      </c>
      <c r="S953" s="8" t="s">
        <v>2003</v>
      </c>
      <c r="T953" s="5" t="s">
        <v>349</v>
      </c>
      <c r="U953" s="5" t="s">
        <v>574</v>
      </c>
      <c r="V953" s="5" t="s">
        <v>1376</v>
      </c>
      <c r="W953" s="5" t="s">
        <v>44</v>
      </c>
      <c r="AJ953" s="5" t="s">
        <v>2692</v>
      </c>
    </row>
    <row r="954" spans="1:36" x14ac:dyDescent="0.25">
      <c r="A954" s="5" t="s">
        <v>153</v>
      </c>
      <c r="B954" s="5" t="s">
        <v>795</v>
      </c>
      <c r="C954" s="5" t="s">
        <v>1339</v>
      </c>
      <c r="D954" s="5" t="s">
        <v>1377</v>
      </c>
      <c r="E954" s="5">
        <v>28.248346000000002</v>
      </c>
      <c r="F954" s="5">
        <v>101.644538</v>
      </c>
      <c r="L954" s="5">
        <v>400</v>
      </c>
      <c r="O954" s="5">
        <v>2375</v>
      </c>
      <c r="T954" s="5" t="s">
        <v>1378</v>
      </c>
      <c r="U954" s="5" t="s">
        <v>956</v>
      </c>
      <c r="V954" s="5" t="s">
        <v>1379</v>
      </c>
      <c r="W954" s="5" t="s">
        <v>44</v>
      </c>
      <c r="AJ954" s="5" t="s">
        <v>2707</v>
      </c>
    </row>
    <row r="955" spans="1:36" x14ac:dyDescent="0.25">
      <c r="A955" s="5" t="s">
        <v>153</v>
      </c>
      <c r="B955" s="5" t="s">
        <v>795</v>
      </c>
      <c r="C955" s="5" t="s">
        <v>1339</v>
      </c>
      <c r="D955" s="5" t="s">
        <v>1380</v>
      </c>
      <c r="E955" s="5">
        <v>30.012740999999998</v>
      </c>
      <c r="F955" s="5">
        <v>108.362302</v>
      </c>
      <c r="L955" s="5">
        <v>93</v>
      </c>
      <c r="U955" s="5">
        <v>600</v>
      </c>
      <c r="V955" s="5" t="s">
        <v>1356</v>
      </c>
      <c r="W955" s="5" t="s">
        <v>44</v>
      </c>
      <c r="AJ955" s="5" t="s">
        <v>2692</v>
      </c>
    </row>
    <row r="956" spans="1:36" x14ac:dyDescent="0.25">
      <c r="A956" s="5" t="s">
        <v>729</v>
      </c>
      <c r="B956" s="5" t="s">
        <v>795</v>
      </c>
      <c r="C956" s="5" t="s">
        <v>795</v>
      </c>
      <c r="D956" s="5" t="s">
        <v>1385</v>
      </c>
      <c r="E956" s="5">
        <v>67.186751999999998</v>
      </c>
      <c r="F956" s="5">
        <v>20.679131999999999</v>
      </c>
      <c r="G956" s="5" t="s">
        <v>1386</v>
      </c>
      <c r="I956" s="5" t="s">
        <v>1387</v>
      </c>
      <c r="T956" s="5" t="s">
        <v>1009</v>
      </c>
      <c r="U956" s="5" t="s">
        <v>1112</v>
      </c>
      <c r="V956" s="5" t="s">
        <v>1388</v>
      </c>
      <c r="W956" s="5" t="s">
        <v>44</v>
      </c>
      <c r="AJ956" s="5" t="s">
        <v>1389</v>
      </c>
    </row>
    <row r="957" spans="1:36" x14ac:dyDescent="0.25">
      <c r="A957" s="5" t="s">
        <v>550</v>
      </c>
      <c r="B957" s="5" t="s">
        <v>795</v>
      </c>
      <c r="C957" s="5" t="s">
        <v>795</v>
      </c>
      <c r="D957" s="5" t="s">
        <v>2037</v>
      </c>
      <c r="E957" s="5">
        <v>-33.466864000000001</v>
      </c>
      <c r="F957" s="5">
        <v>148.993673</v>
      </c>
      <c r="T957" s="5" t="s">
        <v>809</v>
      </c>
      <c r="W957" s="5" t="s">
        <v>44</v>
      </c>
      <c r="AJ957" s="5" t="s">
        <v>2038</v>
      </c>
    </row>
    <row r="958" spans="1:36" x14ac:dyDescent="0.25">
      <c r="A958" s="5" t="s">
        <v>153</v>
      </c>
      <c r="B958" s="5" t="s">
        <v>795</v>
      </c>
      <c r="C958" s="5" t="s">
        <v>795</v>
      </c>
      <c r="D958" s="5" t="s">
        <v>2708</v>
      </c>
      <c r="P958" s="7">
        <v>39178</v>
      </c>
      <c r="Q958" s="5">
        <v>2007</v>
      </c>
      <c r="AJ958" s="5" t="s">
        <v>2709</v>
      </c>
    </row>
    <row r="959" spans="1:36" x14ac:dyDescent="0.25">
      <c r="A959" s="5" t="s">
        <v>51</v>
      </c>
      <c r="B959" s="5" t="s">
        <v>1390</v>
      </c>
      <c r="C959" s="5" t="s">
        <v>1391</v>
      </c>
      <c r="D959" s="5" t="s">
        <v>1392</v>
      </c>
      <c r="E959" s="5">
        <v>51.472656000000001</v>
      </c>
      <c r="F959" s="5">
        <v>179.099683</v>
      </c>
      <c r="G959" s="6">
        <v>26243</v>
      </c>
      <c r="L959" s="5">
        <v>22</v>
      </c>
      <c r="M959" s="5">
        <v>4.9000000000000004</v>
      </c>
      <c r="N959" s="5" t="s">
        <v>808</v>
      </c>
      <c r="P959" s="7" t="s">
        <v>2710</v>
      </c>
      <c r="Q959" s="5">
        <v>1971</v>
      </c>
      <c r="U959" s="5" t="s">
        <v>1393</v>
      </c>
      <c r="W959" s="5" t="s">
        <v>73</v>
      </c>
      <c r="AI959" s="5" t="s">
        <v>2040</v>
      </c>
      <c r="AJ959" s="5" t="s">
        <v>1394</v>
      </c>
    </row>
    <row r="960" spans="1:36" x14ac:dyDescent="0.25">
      <c r="A960" s="5" t="s">
        <v>149</v>
      </c>
      <c r="B960" s="5" t="s">
        <v>1390</v>
      </c>
      <c r="C960" s="5" t="s">
        <v>1391</v>
      </c>
      <c r="D960" s="5" t="s">
        <v>1395</v>
      </c>
      <c r="E960" s="5">
        <v>73.400000000000006</v>
      </c>
      <c r="F960" s="5">
        <v>54.9</v>
      </c>
      <c r="G960" s="6">
        <v>26964</v>
      </c>
      <c r="L960" s="5">
        <v>19</v>
      </c>
      <c r="M960" s="5">
        <v>4.8</v>
      </c>
      <c r="N960" s="5" t="s">
        <v>808</v>
      </c>
      <c r="P960" s="7" t="s">
        <v>2711</v>
      </c>
      <c r="Q960" s="5">
        <v>1973</v>
      </c>
      <c r="W960" s="5" t="s">
        <v>44</v>
      </c>
      <c r="AI960" s="5" t="s">
        <v>1396</v>
      </c>
      <c r="AJ960" s="5" t="s">
        <v>1397</v>
      </c>
    </row>
    <row r="961" spans="1:36" x14ac:dyDescent="0.25">
      <c r="A961" s="5" t="s">
        <v>51</v>
      </c>
      <c r="B961" s="5" t="s">
        <v>1390</v>
      </c>
      <c r="C961" s="5" t="s">
        <v>1391</v>
      </c>
      <c r="D961" s="5" t="s">
        <v>2041</v>
      </c>
      <c r="E961" s="5">
        <v>37.084200000000003</v>
      </c>
      <c r="F961" s="5">
        <v>-116.0065</v>
      </c>
      <c r="G961" s="6">
        <v>30168</v>
      </c>
      <c r="M961" s="5">
        <v>4.5199999999999996</v>
      </c>
      <c r="N961" s="5" t="s">
        <v>40</v>
      </c>
      <c r="O961" s="5">
        <v>640</v>
      </c>
      <c r="P961" s="7">
        <v>30168</v>
      </c>
      <c r="Q961" s="5">
        <v>1982</v>
      </c>
      <c r="W961" s="5" t="s">
        <v>44</v>
      </c>
      <c r="AI961" s="5" t="s">
        <v>2042</v>
      </c>
      <c r="AJ961" t="s">
        <v>2043</v>
      </c>
    </row>
    <row r="962" spans="1:36" x14ac:dyDescent="0.25">
      <c r="A962" s="5" t="s">
        <v>51</v>
      </c>
      <c r="B962" s="5" t="s">
        <v>1390</v>
      </c>
      <c r="C962" s="5" t="s">
        <v>1391</v>
      </c>
      <c r="D962" s="5" t="s">
        <v>1398</v>
      </c>
      <c r="E962" s="5">
        <v>51.416041999999997</v>
      </c>
      <c r="F962" s="5">
        <v>179.18002100000001</v>
      </c>
      <c r="G962" s="6">
        <v>25478</v>
      </c>
      <c r="L962" s="5">
        <v>12</v>
      </c>
      <c r="M962" s="5">
        <v>4.3</v>
      </c>
      <c r="N962" s="5" t="s">
        <v>808</v>
      </c>
      <c r="P962" s="7" t="s">
        <v>1472</v>
      </c>
      <c r="Q962" s="5">
        <v>1969</v>
      </c>
      <c r="U962" s="5" t="s">
        <v>1399</v>
      </c>
      <c r="W962" s="5" t="s">
        <v>73</v>
      </c>
      <c r="AI962" s="5" t="s">
        <v>2044</v>
      </c>
      <c r="AJ962" s="5" t="s">
        <v>1394</v>
      </c>
    </row>
    <row r="963" spans="1:36" ht="16.5" x14ac:dyDescent="0.3">
      <c r="A963" s="5" t="s">
        <v>51</v>
      </c>
      <c r="B963" s="5" t="s">
        <v>1390</v>
      </c>
      <c r="C963" s="5" t="s">
        <v>1391</v>
      </c>
      <c r="D963" s="5" t="s">
        <v>1400</v>
      </c>
      <c r="E963" s="5">
        <v>37.135330000000003</v>
      </c>
      <c r="F963" s="5">
        <v>-116.28249</v>
      </c>
      <c r="G963" s="6">
        <v>25191</v>
      </c>
      <c r="L963" s="5" t="s">
        <v>2355</v>
      </c>
      <c r="M963" s="5">
        <v>4.2</v>
      </c>
      <c r="N963" s="5" t="s">
        <v>65</v>
      </c>
      <c r="S963" s="5">
        <v>10000</v>
      </c>
      <c r="U963" s="5" t="s">
        <v>875</v>
      </c>
      <c r="W963" s="5" t="s">
        <v>44</v>
      </c>
      <c r="AI963" s="5" t="s">
        <v>1401</v>
      </c>
      <c r="AJ963" s="5" t="s">
        <v>1402</v>
      </c>
    </row>
    <row r="964" spans="1:36" x14ac:dyDescent="0.25">
      <c r="A964" s="5" t="s">
        <v>1403</v>
      </c>
      <c r="B964" s="5" t="s">
        <v>1390</v>
      </c>
      <c r="C964" s="5" t="s">
        <v>2160</v>
      </c>
      <c r="D964" s="5" t="s">
        <v>2161</v>
      </c>
      <c r="E964" s="5">
        <v>41.3429</v>
      </c>
      <c r="F964" s="5">
        <v>129.036</v>
      </c>
      <c r="G964" s="6">
        <v>42981</v>
      </c>
      <c r="I964" s="6">
        <v>42981</v>
      </c>
      <c r="K964" s="5" t="s">
        <v>2162</v>
      </c>
      <c r="L964" s="5">
        <v>87</v>
      </c>
      <c r="M964" s="5">
        <v>4.0999999999999996</v>
      </c>
      <c r="N964" s="5" t="s">
        <v>65</v>
      </c>
      <c r="O964" s="5">
        <v>760</v>
      </c>
      <c r="P964" s="7">
        <v>42981</v>
      </c>
      <c r="Q964" s="5">
        <v>2017</v>
      </c>
      <c r="W964" s="5" t="s">
        <v>44</v>
      </c>
      <c r="AI964" s="5" t="s">
        <v>2061</v>
      </c>
      <c r="AJ964" t="s">
        <v>2163</v>
      </c>
    </row>
    <row r="965" spans="1:36" ht="16.5" x14ac:dyDescent="0.3">
      <c r="A965" s="5" t="s">
        <v>51</v>
      </c>
      <c r="B965" s="5" t="s">
        <v>1390</v>
      </c>
      <c r="C965" s="5" t="s">
        <v>1391</v>
      </c>
      <c r="D965" s="5" t="s">
        <v>1404</v>
      </c>
      <c r="E965" s="5">
        <v>37.185090000000002</v>
      </c>
      <c r="F965" s="5">
        <v>-116.27384000000001</v>
      </c>
      <c r="G965" s="6">
        <v>25462</v>
      </c>
      <c r="L965" s="5" t="s">
        <v>2356</v>
      </c>
      <c r="M965" s="5">
        <v>3</v>
      </c>
      <c r="N965" s="5" t="s">
        <v>65</v>
      </c>
      <c r="U965" s="5" t="s">
        <v>875</v>
      </c>
      <c r="W965" s="5" t="s">
        <v>44</v>
      </c>
      <c r="AI965" s="5" t="s">
        <v>1405</v>
      </c>
      <c r="AJ965" s="5" t="s">
        <v>1402</v>
      </c>
    </row>
    <row r="966" spans="1:36" x14ac:dyDescent="0.25">
      <c r="A966" s="5" t="s">
        <v>1403</v>
      </c>
      <c r="B966" s="5" t="s">
        <v>1390</v>
      </c>
      <c r="C966" s="5" t="s">
        <v>1391</v>
      </c>
      <c r="D966" s="5" t="s">
        <v>2164</v>
      </c>
      <c r="E966" s="5">
        <v>41.294885999999998</v>
      </c>
      <c r="F966" s="5">
        <v>129.07936000000001</v>
      </c>
      <c r="G966" s="6">
        <v>41317</v>
      </c>
      <c r="I966" s="6">
        <v>41423</v>
      </c>
      <c r="M966" s="5">
        <v>2.5299999999999998</v>
      </c>
      <c r="N966" s="5" t="s">
        <v>808</v>
      </c>
      <c r="P966" s="7">
        <v>41784</v>
      </c>
      <c r="Q966" s="5">
        <v>2014</v>
      </c>
      <c r="W966" s="5" t="s">
        <v>44</v>
      </c>
      <c r="AJ966" s="5" t="s">
        <v>2165</v>
      </c>
    </row>
    <row r="967" spans="1:36" x14ac:dyDescent="0.25">
      <c r="A967" s="5" t="s">
        <v>1403</v>
      </c>
      <c r="B967" s="5" t="s">
        <v>1390</v>
      </c>
      <c r="C967" s="5" t="s">
        <v>1391</v>
      </c>
      <c r="D967" s="5" t="s">
        <v>2166</v>
      </c>
      <c r="E967" s="5">
        <v>41.302292999999999</v>
      </c>
      <c r="F967" s="5">
        <v>129.07659899999999</v>
      </c>
      <c r="G967" s="6">
        <v>42375</v>
      </c>
      <c r="I967" s="6">
        <v>42419</v>
      </c>
      <c r="M967" s="5">
        <v>2.16</v>
      </c>
      <c r="N967" s="5" t="s">
        <v>808</v>
      </c>
      <c r="P967" s="7">
        <v>42475</v>
      </c>
      <c r="Q967" s="5">
        <v>2016</v>
      </c>
      <c r="W967" s="5" t="s">
        <v>44</v>
      </c>
      <c r="AJ967" s="5" t="s">
        <v>2165</v>
      </c>
    </row>
    <row r="968" spans="1:36" ht="16.5" x14ac:dyDescent="0.3">
      <c r="A968" s="5" t="s">
        <v>51</v>
      </c>
      <c r="B968" s="5" t="s">
        <v>1390</v>
      </c>
      <c r="C968" s="5" t="s">
        <v>1391</v>
      </c>
      <c r="D968" s="5" t="s">
        <v>1406</v>
      </c>
      <c r="E968" s="5">
        <v>37.165840000000003</v>
      </c>
      <c r="F968" s="5">
        <v>-116.30023</v>
      </c>
      <c r="G968" s="6">
        <v>25330</v>
      </c>
      <c r="L968" s="5" t="s">
        <v>2357</v>
      </c>
      <c r="M968" s="5">
        <v>2</v>
      </c>
      <c r="N968" s="5" t="s">
        <v>65</v>
      </c>
      <c r="S968" s="5">
        <v>9000</v>
      </c>
      <c r="U968" s="5" t="s">
        <v>875</v>
      </c>
      <c r="W968" s="5" t="s">
        <v>44</v>
      </c>
      <c r="AI968" s="5" t="s">
        <v>1407</v>
      </c>
      <c r="AJ968" s="5" t="s">
        <v>1402</v>
      </c>
    </row>
    <row r="969" spans="1:36" ht="16.5" x14ac:dyDescent="0.3">
      <c r="A969" s="5" t="s">
        <v>51</v>
      </c>
      <c r="B969" s="5" t="s">
        <v>1390</v>
      </c>
      <c r="C969" s="5" t="s">
        <v>1391</v>
      </c>
      <c r="D969" s="5" t="s">
        <v>1408</v>
      </c>
      <c r="E969" s="5">
        <v>37.180169999999997</v>
      </c>
      <c r="F969" s="5">
        <v>-116.32028</v>
      </c>
      <c r="G969" s="6">
        <v>25653</v>
      </c>
      <c r="L969" s="5" t="s">
        <v>2358</v>
      </c>
      <c r="M969" s="5">
        <v>2</v>
      </c>
      <c r="N969" s="5" t="s">
        <v>65</v>
      </c>
      <c r="S969" s="5">
        <v>30000</v>
      </c>
      <c r="U969" s="5" t="s">
        <v>875</v>
      </c>
      <c r="W969" s="5" t="s">
        <v>44</v>
      </c>
      <c r="AI969" s="5" t="s">
        <v>1409</v>
      </c>
      <c r="AJ969" s="5" t="s">
        <v>1402</v>
      </c>
    </row>
    <row r="970" spans="1:36" x14ac:dyDescent="0.25">
      <c r="A970" s="5" t="s">
        <v>1403</v>
      </c>
      <c r="B970" s="5" t="s">
        <v>1390</v>
      </c>
      <c r="C970" s="5" t="s">
        <v>1391</v>
      </c>
      <c r="D970" s="5" t="s">
        <v>2167</v>
      </c>
      <c r="E970" s="5">
        <v>41.302072000000003</v>
      </c>
      <c r="F970" s="5">
        <v>129.08220800000001</v>
      </c>
      <c r="G970" s="6">
        <v>42530</v>
      </c>
      <c r="I970" s="6">
        <v>42626</v>
      </c>
      <c r="M970" s="5">
        <v>1.74</v>
      </c>
      <c r="N970" s="5" t="s">
        <v>808</v>
      </c>
      <c r="P970" s="7">
        <v>42626</v>
      </c>
      <c r="Q970" s="5">
        <v>2016</v>
      </c>
      <c r="W970" s="5" t="s">
        <v>44</v>
      </c>
      <c r="AJ970" s="5" t="s">
        <v>2165</v>
      </c>
    </row>
    <row r="971" spans="1:36" x14ac:dyDescent="0.25">
      <c r="A971" s="5" t="s">
        <v>51</v>
      </c>
      <c r="B971" s="5" t="s">
        <v>1390</v>
      </c>
      <c r="C971" s="5" t="s">
        <v>1391</v>
      </c>
      <c r="D971" s="5" t="s">
        <v>1410</v>
      </c>
      <c r="E971" s="5">
        <v>38.634214</v>
      </c>
      <c r="F971" s="5">
        <v>-116.216211</v>
      </c>
      <c r="G971" s="6">
        <v>24856</v>
      </c>
      <c r="W971" s="5" t="s">
        <v>44</v>
      </c>
      <c r="AI971" s="5" t="s">
        <v>1411</v>
      </c>
      <c r="AJ971" s="5" t="s">
        <v>1412</v>
      </c>
    </row>
    <row r="972" spans="1:36" x14ac:dyDescent="0.25">
      <c r="A972" s="5" t="s">
        <v>51</v>
      </c>
      <c r="B972" s="5" t="s">
        <v>1390</v>
      </c>
      <c r="C972" s="5" t="s">
        <v>1391</v>
      </c>
      <c r="D972" s="5" t="s">
        <v>1413</v>
      </c>
      <c r="E972" s="5">
        <v>37.133000000000003</v>
      </c>
      <c r="F972" s="5">
        <v>-116.033</v>
      </c>
      <c r="G972" s="6">
        <v>22692</v>
      </c>
      <c r="W972" s="5" t="s">
        <v>44</v>
      </c>
      <c r="AI972" s="5" t="s">
        <v>1414</v>
      </c>
      <c r="AJ972" s="5" t="s">
        <v>1415</v>
      </c>
    </row>
    <row r="973" spans="1:36" x14ac:dyDescent="0.25">
      <c r="A973" s="5" t="s">
        <v>51</v>
      </c>
      <c r="B973" s="5" t="s">
        <v>1390</v>
      </c>
      <c r="C973" s="5" t="s">
        <v>1391</v>
      </c>
      <c r="D973" s="5" t="s">
        <v>1416</v>
      </c>
      <c r="E973" s="5">
        <v>37.161859999999997</v>
      </c>
      <c r="F973" s="5">
        <v>-116.26018000000001</v>
      </c>
      <c r="G973" s="6">
        <v>24162</v>
      </c>
      <c r="W973" s="5" t="s">
        <v>44</v>
      </c>
      <c r="AI973" s="5" t="s">
        <v>1417</v>
      </c>
      <c r="AJ973" s="5" t="s">
        <v>2712</v>
      </c>
    </row>
    <row r="974" spans="1:36" x14ac:dyDescent="0.25">
      <c r="A974" s="5" t="s">
        <v>51</v>
      </c>
      <c r="B974" s="5" t="s">
        <v>1390</v>
      </c>
      <c r="C974" s="5" t="s">
        <v>1391</v>
      </c>
      <c r="D974" s="5" t="s">
        <v>1418</v>
      </c>
      <c r="E974" s="5">
        <v>37.185690000000001</v>
      </c>
      <c r="F974" s="5">
        <v>-116.17563</v>
      </c>
      <c r="G974" s="6">
        <v>24288</v>
      </c>
      <c r="W974" s="5" t="s">
        <v>44</v>
      </c>
      <c r="AI974" s="5" t="s">
        <v>1419</v>
      </c>
      <c r="AJ974" s="5" t="s">
        <v>2712</v>
      </c>
    </row>
    <row r="975" spans="1:36" x14ac:dyDescent="0.25">
      <c r="A975" s="5" t="s">
        <v>51</v>
      </c>
      <c r="B975" s="5" t="s">
        <v>1390</v>
      </c>
      <c r="C975" s="5" t="s">
        <v>1391</v>
      </c>
      <c r="D975" s="5" t="s">
        <v>1420</v>
      </c>
      <c r="E975" s="5">
        <v>37.18074</v>
      </c>
      <c r="F975" s="5">
        <v>-116.24299000000001</v>
      </c>
      <c r="G975" s="6">
        <v>24461</v>
      </c>
      <c r="W975" s="5" t="s">
        <v>44</v>
      </c>
      <c r="AI975" s="5" t="s">
        <v>1421</v>
      </c>
      <c r="AJ975" s="5" t="s">
        <v>2712</v>
      </c>
    </row>
    <row r="976" spans="1:36" x14ac:dyDescent="0.25">
      <c r="A976" s="5" t="s">
        <v>51</v>
      </c>
      <c r="B976" s="5" t="s">
        <v>1390</v>
      </c>
      <c r="C976" s="5" t="s">
        <v>1391</v>
      </c>
      <c r="D976" s="5" t="s">
        <v>1422</v>
      </c>
      <c r="E976" s="5">
        <v>37.055950000000003</v>
      </c>
      <c r="F976" s="5">
        <v>-116.00138</v>
      </c>
      <c r="G976" s="6">
        <v>24492</v>
      </c>
      <c r="W976" s="5" t="s">
        <v>44</v>
      </c>
      <c r="AI976" s="5" t="s">
        <v>1423</v>
      </c>
      <c r="AJ976" s="5" t="s">
        <v>2712</v>
      </c>
    </row>
    <row r="977" spans="1:36" x14ac:dyDescent="0.25">
      <c r="A977" s="5" t="s">
        <v>51</v>
      </c>
      <c r="B977" s="5" t="s">
        <v>1390</v>
      </c>
      <c r="C977" s="5" t="s">
        <v>1391</v>
      </c>
      <c r="D977" s="5" t="s">
        <v>1424</v>
      </c>
      <c r="E977" s="5">
        <v>37.042000000000002</v>
      </c>
      <c r="F977" s="5">
        <v>-116.014</v>
      </c>
      <c r="G977" s="6">
        <v>24092</v>
      </c>
      <c r="W977" s="5" t="s">
        <v>44</v>
      </c>
      <c r="AI977" s="5" t="s">
        <v>1423</v>
      </c>
      <c r="AJ977" s="5" t="s">
        <v>2712</v>
      </c>
    </row>
    <row r="978" spans="1:36" x14ac:dyDescent="0.25">
      <c r="A978" s="5" t="s">
        <v>51</v>
      </c>
      <c r="B978" s="5" t="s">
        <v>1390</v>
      </c>
      <c r="C978" s="5" t="s">
        <v>1391</v>
      </c>
      <c r="D978" s="5" t="s">
        <v>1425</v>
      </c>
      <c r="E978" s="5">
        <v>37.044069999999998</v>
      </c>
      <c r="F978" s="5">
        <v>-116.01002</v>
      </c>
      <c r="G978" s="6">
        <v>23995</v>
      </c>
      <c r="W978" s="5" t="s">
        <v>44</v>
      </c>
      <c r="AI978" s="5" t="s">
        <v>1423</v>
      </c>
      <c r="AJ978" s="5" t="s">
        <v>2712</v>
      </c>
    </row>
    <row r="979" spans="1:36" x14ac:dyDescent="0.25">
      <c r="A979" s="5" t="s">
        <v>51</v>
      </c>
      <c r="B979" s="5" t="s">
        <v>1390</v>
      </c>
      <c r="C979" s="5" t="s">
        <v>1391</v>
      </c>
      <c r="D979" s="5" t="s">
        <v>1426</v>
      </c>
      <c r="E979" s="5">
        <v>37.205280000000002</v>
      </c>
      <c r="F979" s="5">
        <v>-116.1919</v>
      </c>
      <c r="G979" s="6">
        <v>24233</v>
      </c>
      <c r="W979" s="5" t="s">
        <v>44</v>
      </c>
      <c r="AI979" s="5" t="s">
        <v>1427</v>
      </c>
      <c r="AJ979" s="5" t="s">
        <v>2712</v>
      </c>
    </row>
    <row r="980" spans="1:36" x14ac:dyDescent="0.25">
      <c r="A980" s="5" t="s">
        <v>51</v>
      </c>
      <c r="B980" s="5" t="s">
        <v>1390</v>
      </c>
      <c r="C980" s="5" t="s">
        <v>1391</v>
      </c>
      <c r="D980" s="5" t="s">
        <v>1428</v>
      </c>
      <c r="E980" s="5">
        <v>37.08372</v>
      </c>
      <c r="F980" s="5">
        <v>-116.08067</v>
      </c>
      <c r="G980" s="6">
        <v>24491</v>
      </c>
      <c r="W980" s="5" t="s">
        <v>44</v>
      </c>
      <c r="AI980" s="5" t="s">
        <v>1423</v>
      </c>
      <c r="AJ980" s="5" t="s">
        <v>2712</v>
      </c>
    </row>
    <row r="981" spans="1:36" x14ac:dyDescent="0.25">
      <c r="A981" s="5" t="s">
        <v>51</v>
      </c>
      <c r="B981" s="5" t="s">
        <v>1390</v>
      </c>
      <c r="C981" s="5" t="s">
        <v>1391</v>
      </c>
      <c r="D981" s="5" t="s">
        <v>1429</v>
      </c>
      <c r="E981" s="5">
        <v>37.064010000000003</v>
      </c>
      <c r="F981" s="5">
        <v>-116.03285</v>
      </c>
      <c r="G981" s="6">
        <v>24246</v>
      </c>
      <c r="W981" s="5" t="s">
        <v>44</v>
      </c>
      <c r="AI981" s="5" t="s">
        <v>1423</v>
      </c>
      <c r="AJ981" s="5" t="s">
        <v>2712</v>
      </c>
    </row>
    <row r="982" spans="1:36" x14ac:dyDescent="0.25">
      <c r="A982" s="5" t="s">
        <v>51</v>
      </c>
      <c r="B982" s="5" t="s">
        <v>1390</v>
      </c>
      <c r="C982" s="5" t="s">
        <v>1391</v>
      </c>
      <c r="D982" s="5" t="s">
        <v>1430</v>
      </c>
      <c r="E982" s="5">
        <v>37.040999999999997</v>
      </c>
      <c r="F982" s="5">
        <v>-116.021</v>
      </c>
      <c r="G982" s="6">
        <v>24261</v>
      </c>
      <c r="W982" s="5" t="s">
        <v>44</v>
      </c>
      <c r="AI982" s="5" t="s">
        <v>1423</v>
      </c>
      <c r="AJ982" s="5" t="s">
        <v>2712</v>
      </c>
    </row>
    <row r="983" spans="1:36" x14ac:dyDescent="0.25">
      <c r="A983" s="5" t="s">
        <v>51</v>
      </c>
      <c r="B983" s="5" t="s">
        <v>1390</v>
      </c>
      <c r="C983" s="5" t="s">
        <v>1391</v>
      </c>
      <c r="D983" s="5" t="s">
        <v>1431</v>
      </c>
      <c r="E983" s="5">
        <v>37.174349999999997</v>
      </c>
      <c r="F983" s="5">
        <v>-116.27204999999999</v>
      </c>
      <c r="G983" s="6">
        <v>24954</v>
      </c>
      <c r="W983" s="5" t="s">
        <v>44</v>
      </c>
      <c r="AI983" s="5" t="s">
        <v>1432</v>
      </c>
      <c r="AJ983" s="5" t="s">
        <v>2713</v>
      </c>
    </row>
    <row r="984" spans="1:36" x14ac:dyDescent="0.25">
      <c r="A984" s="5" t="s">
        <v>51</v>
      </c>
      <c r="B984" s="5" t="s">
        <v>1390</v>
      </c>
      <c r="C984" s="5" t="s">
        <v>1391</v>
      </c>
      <c r="D984" s="5" t="s">
        <v>1434</v>
      </c>
      <c r="E984" s="5">
        <v>37.143360000000001</v>
      </c>
      <c r="F984" s="5">
        <v>-116.25511</v>
      </c>
      <c r="G984" s="6">
        <v>24211</v>
      </c>
      <c r="W984" s="5" t="s">
        <v>44</v>
      </c>
      <c r="AI984" s="5" t="s">
        <v>1435</v>
      </c>
      <c r="AJ984" s="5" t="s">
        <v>1433</v>
      </c>
    </row>
    <row r="985" spans="1:36" x14ac:dyDescent="0.25">
      <c r="A985" s="5" t="s">
        <v>51</v>
      </c>
      <c r="B985" s="5" t="s">
        <v>1390</v>
      </c>
      <c r="C985" s="5" t="s">
        <v>1391</v>
      </c>
      <c r="D985" s="5" t="s">
        <v>1436</v>
      </c>
      <c r="E985" s="5">
        <v>37.163029999999999</v>
      </c>
      <c r="F985" s="5">
        <v>-116.22119000000001</v>
      </c>
      <c r="G985" s="6">
        <v>24615</v>
      </c>
      <c r="W985" s="5" t="s">
        <v>44</v>
      </c>
      <c r="AI985" s="5" t="s">
        <v>1437</v>
      </c>
      <c r="AJ985" s="5" t="s">
        <v>2713</v>
      </c>
    </row>
    <row r="986" spans="1:36" x14ac:dyDescent="0.25">
      <c r="A986" s="5" t="s">
        <v>1231</v>
      </c>
      <c r="B986" s="5" t="s">
        <v>1390</v>
      </c>
      <c r="C986" s="5" t="s">
        <v>2168</v>
      </c>
      <c r="D986" s="5" t="s">
        <v>2169</v>
      </c>
      <c r="E986" s="5">
        <v>49.766734</v>
      </c>
      <c r="F986" s="5">
        <v>78.045596000000003</v>
      </c>
      <c r="W986" s="5" t="s">
        <v>44</v>
      </c>
      <c r="AJ986" s="5" t="s">
        <v>2170</v>
      </c>
    </row>
    <row r="987" spans="1:36" x14ac:dyDescent="0.25">
      <c r="A987" s="5" t="s">
        <v>51</v>
      </c>
      <c r="B987" s="5" t="s">
        <v>1438</v>
      </c>
      <c r="C987" s="5" t="s">
        <v>1439</v>
      </c>
      <c r="D987" s="5" t="s">
        <v>1440</v>
      </c>
      <c r="E987" s="5">
        <v>28.893999999999998</v>
      </c>
      <c r="F987" s="5">
        <v>-98.186999999999998</v>
      </c>
      <c r="G987" s="6"/>
      <c r="I987" s="6">
        <v>40401</v>
      </c>
      <c r="L987" s="5">
        <v>6</v>
      </c>
      <c r="M987" s="5">
        <v>3</v>
      </c>
      <c r="P987" s="7">
        <v>40533</v>
      </c>
      <c r="Q987" s="5">
        <v>2010</v>
      </c>
      <c r="W987" s="5" t="s">
        <v>44</v>
      </c>
      <c r="AA987" s="5">
        <v>6.1</v>
      </c>
      <c r="AB987" s="5" t="s">
        <v>118</v>
      </c>
      <c r="AJ987" s="5" t="s">
        <v>1441</v>
      </c>
    </row>
    <row r="988" spans="1:36" x14ac:dyDescent="0.25">
      <c r="A988" s="5" t="s">
        <v>51</v>
      </c>
      <c r="B988" s="5" t="s">
        <v>1438</v>
      </c>
      <c r="C988" s="5" t="s">
        <v>1439</v>
      </c>
      <c r="D988" s="5" t="s">
        <v>1442</v>
      </c>
      <c r="E988" s="5">
        <v>28.49</v>
      </c>
      <c r="F988" s="5">
        <v>-100.003</v>
      </c>
      <c r="G988" s="6"/>
      <c r="I988" s="6">
        <v>40191</v>
      </c>
      <c r="L988" s="5">
        <v>7</v>
      </c>
      <c r="M988" s="5">
        <v>2.98</v>
      </c>
      <c r="P988" s="7">
        <v>40245</v>
      </c>
      <c r="Q988" s="5">
        <v>2010</v>
      </c>
      <c r="W988" s="5" t="s">
        <v>44</v>
      </c>
      <c r="AA988" s="5" t="s">
        <v>1443</v>
      </c>
      <c r="AB988" s="5" t="s">
        <v>118</v>
      </c>
      <c r="AJ988" s="5" t="s">
        <v>1441</v>
      </c>
    </row>
    <row r="989" spans="1:36" x14ac:dyDescent="0.25">
      <c r="A989" s="5" t="s">
        <v>51</v>
      </c>
      <c r="B989" s="5" t="s">
        <v>1438</v>
      </c>
      <c r="C989" s="5" t="s">
        <v>1439</v>
      </c>
      <c r="D989" s="5" t="s">
        <v>1444</v>
      </c>
      <c r="E989" s="5">
        <v>28.212</v>
      </c>
      <c r="F989" s="5">
        <v>-99.680999999999997</v>
      </c>
      <c r="G989" s="6"/>
      <c r="I989" s="6">
        <v>40711</v>
      </c>
      <c r="L989" s="5">
        <v>9</v>
      </c>
      <c r="M989" s="5">
        <v>2.72</v>
      </c>
      <c r="P989" s="7">
        <v>40720</v>
      </c>
      <c r="Q989" s="5">
        <v>2011</v>
      </c>
      <c r="W989" s="5" t="s">
        <v>44</v>
      </c>
      <c r="AA989" s="5" t="s">
        <v>1445</v>
      </c>
      <c r="AB989" s="5" t="s">
        <v>118</v>
      </c>
      <c r="AJ989" s="5" t="s">
        <v>1441</v>
      </c>
    </row>
    <row r="990" spans="1:36" x14ac:dyDescent="0.25">
      <c r="A990" s="5" t="s">
        <v>51</v>
      </c>
      <c r="B990" s="5" t="s">
        <v>1438</v>
      </c>
      <c r="C990" s="5" t="s">
        <v>1439</v>
      </c>
      <c r="D990" s="5" t="s">
        <v>1446</v>
      </c>
      <c r="E990" s="5">
        <v>29.361000000000001</v>
      </c>
      <c r="F990" s="5">
        <v>-97.42</v>
      </c>
      <c r="G990" s="6"/>
      <c r="I990" s="6">
        <v>40682</v>
      </c>
      <c r="L990" s="5">
        <v>5</v>
      </c>
      <c r="M990" s="5">
        <v>2.62</v>
      </c>
      <c r="P990" s="7">
        <v>40685</v>
      </c>
      <c r="Q990" s="5">
        <v>2011</v>
      </c>
      <c r="W990" s="5" t="s">
        <v>44</v>
      </c>
      <c r="AA990" s="5">
        <v>6.1</v>
      </c>
      <c r="AB990" s="5" t="s">
        <v>118</v>
      </c>
      <c r="AJ990" s="5" t="s">
        <v>1441</v>
      </c>
    </row>
    <row r="991" spans="1:36" x14ac:dyDescent="0.25">
      <c r="A991" s="5" t="s">
        <v>51</v>
      </c>
      <c r="B991" s="5" t="s">
        <v>1438</v>
      </c>
      <c r="C991" s="5" t="s">
        <v>1439</v>
      </c>
      <c r="D991" s="5" t="s">
        <v>1447</v>
      </c>
      <c r="E991" s="5">
        <v>29.245999999999999</v>
      </c>
      <c r="F991" s="5">
        <v>-97.760999999999996</v>
      </c>
      <c r="G991" s="6"/>
      <c r="I991" s="6">
        <v>40640</v>
      </c>
      <c r="L991" s="5">
        <v>4</v>
      </c>
      <c r="M991" s="5">
        <v>2.4</v>
      </c>
      <c r="P991" s="7">
        <v>40642</v>
      </c>
      <c r="Q991" s="5">
        <v>2011</v>
      </c>
      <c r="W991" s="5" t="s">
        <v>44</v>
      </c>
      <c r="AA991" s="5">
        <v>4.9000000000000004</v>
      </c>
      <c r="AB991" s="5" t="s">
        <v>118</v>
      </c>
      <c r="AJ991" s="5" t="s">
        <v>1441</v>
      </c>
    </row>
    <row r="992" spans="1:36" x14ac:dyDescent="0.25">
      <c r="A992" s="5" t="s">
        <v>51</v>
      </c>
      <c r="B992" s="5" t="s">
        <v>1438</v>
      </c>
      <c r="C992" s="5" t="s">
        <v>1439</v>
      </c>
      <c r="D992" s="5" t="s">
        <v>1448</v>
      </c>
      <c r="E992" s="5">
        <v>28.954000000000001</v>
      </c>
      <c r="F992" s="5">
        <v>-98.195999999999998</v>
      </c>
      <c r="G992" s="6"/>
      <c r="I992" s="6">
        <v>40636</v>
      </c>
      <c r="L992" s="5">
        <v>12</v>
      </c>
      <c r="M992" s="5">
        <v>2.12</v>
      </c>
      <c r="P992" s="7">
        <v>40729</v>
      </c>
      <c r="Q992" s="5">
        <v>2011</v>
      </c>
      <c r="W992" s="5" t="s">
        <v>44</v>
      </c>
      <c r="AA992" s="5">
        <v>4.3</v>
      </c>
      <c r="AB992" s="5" t="s">
        <v>118</v>
      </c>
      <c r="AJ992" s="5" t="s">
        <v>1441</v>
      </c>
    </row>
    <row r="993" spans="1:36" x14ac:dyDescent="0.25">
      <c r="A993" s="5" t="s">
        <v>51</v>
      </c>
      <c r="B993" s="5" t="s">
        <v>1438</v>
      </c>
      <c r="C993" s="5" t="s">
        <v>1439</v>
      </c>
      <c r="D993" s="5" t="s">
        <v>1449</v>
      </c>
      <c r="E993" s="5">
        <v>28.966000000000001</v>
      </c>
      <c r="F993" s="5">
        <v>-98.343000000000004</v>
      </c>
      <c r="G993" s="6"/>
      <c r="I993" s="6">
        <v>40558</v>
      </c>
      <c r="M993" s="5">
        <v>1.94</v>
      </c>
      <c r="P993" s="7">
        <v>40558</v>
      </c>
      <c r="Q993" s="5">
        <v>2011</v>
      </c>
      <c r="W993" s="5" t="s">
        <v>44</v>
      </c>
      <c r="AA993" s="5">
        <v>1.7</v>
      </c>
      <c r="AB993" s="5" t="s">
        <v>118</v>
      </c>
      <c r="AJ993" s="5" t="s">
        <v>1441</v>
      </c>
    </row>
    <row r="994" spans="1:36" x14ac:dyDescent="0.25">
      <c r="A994" s="5" t="s">
        <v>51</v>
      </c>
      <c r="B994" s="5" t="s">
        <v>1438</v>
      </c>
      <c r="C994" s="5" t="s">
        <v>1439</v>
      </c>
      <c r="D994" s="5" t="s">
        <v>1450</v>
      </c>
      <c r="E994" s="5">
        <v>28.385000000000002</v>
      </c>
      <c r="F994" s="5">
        <v>-100.05500000000001</v>
      </c>
      <c r="G994" s="6"/>
      <c r="I994" s="6">
        <v>40291</v>
      </c>
      <c r="L994" s="5">
        <v>5</v>
      </c>
      <c r="M994" s="5">
        <v>1.83</v>
      </c>
      <c r="P994" s="7">
        <v>40294</v>
      </c>
      <c r="Q994" s="5">
        <v>2010</v>
      </c>
      <c r="W994" s="5" t="s">
        <v>44</v>
      </c>
      <c r="AA994" s="5" t="s">
        <v>1451</v>
      </c>
      <c r="AB994" s="5" t="s">
        <v>118</v>
      </c>
      <c r="AJ994" s="5" t="s">
        <v>1441</v>
      </c>
    </row>
    <row r="995" spans="1:36" x14ac:dyDescent="0.25">
      <c r="A995" s="5" t="s">
        <v>108</v>
      </c>
      <c r="B995" s="5" t="s">
        <v>1452</v>
      </c>
      <c r="C995" s="5" t="s">
        <v>1453</v>
      </c>
      <c r="D995" s="5" t="s">
        <v>1454</v>
      </c>
      <c r="E995" s="5">
        <v>44.884486000000003</v>
      </c>
      <c r="F995" s="5">
        <v>10.940799999999999</v>
      </c>
      <c r="G995" s="5" t="s">
        <v>1455</v>
      </c>
      <c r="I995" s="5" t="s">
        <v>1456</v>
      </c>
      <c r="L995" s="5">
        <v>2500</v>
      </c>
      <c r="M995" s="5">
        <v>6.1</v>
      </c>
      <c r="N995" s="5" t="s">
        <v>40</v>
      </c>
      <c r="O995" s="5">
        <v>6300</v>
      </c>
      <c r="P995" s="7">
        <v>41049</v>
      </c>
      <c r="Q995" s="5">
        <v>2012</v>
      </c>
      <c r="R995" s="5">
        <v>20000</v>
      </c>
      <c r="T995" s="5" t="s">
        <v>116</v>
      </c>
      <c r="U995" s="5" t="s">
        <v>1457</v>
      </c>
      <c r="V995" s="5" t="s">
        <v>1458</v>
      </c>
      <c r="W995" s="5" t="s">
        <v>73</v>
      </c>
      <c r="X995" s="5" t="s">
        <v>1459</v>
      </c>
      <c r="Z995" s="5" t="s">
        <v>1460</v>
      </c>
      <c r="AC995" s="5" t="s">
        <v>1461</v>
      </c>
      <c r="AD995" s="5" t="s">
        <v>92</v>
      </c>
      <c r="AE995" s="5">
        <v>21</v>
      </c>
      <c r="AF995" s="5">
        <v>0</v>
      </c>
      <c r="AI995" s="5" t="s">
        <v>1462</v>
      </c>
      <c r="AJ995" s="5" t="s">
        <v>1463</v>
      </c>
    </row>
    <row r="996" spans="1:36" x14ac:dyDescent="0.25">
      <c r="A996" s="5" t="s">
        <v>51</v>
      </c>
      <c r="B996" s="5" t="s">
        <v>1452</v>
      </c>
      <c r="C996" s="5" t="s">
        <v>1453</v>
      </c>
      <c r="D996" s="5" t="s">
        <v>1464</v>
      </c>
      <c r="E996" s="5">
        <v>28.988</v>
      </c>
      <c r="F996" s="5">
        <v>-97.97</v>
      </c>
      <c r="I996" s="6">
        <v>40245</v>
      </c>
      <c r="L996" s="5">
        <v>4</v>
      </c>
      <c r="M996" s="5">
        <v>3</v>
      </c>
      <c r="P996" s="7">
        <v>40245</v>
      </c>
      <c r="Q996" s="5">
        <v>2010</v>
      </c>
      <c r="W996" s="5" t="s">
        <v>44</v>
      </c>
      <c r="AA996" s="5" t="s">
        <v>1465</v>
      </c>
      <c r="AB996" s="5" t="s">
        <v>118</v>
      </c>
      <c r="AJ996" s="5" t="s">
        <v>1441</v>
      </c>
    </row>
    <row r="997" spans="1:36" x14ac:dyDescent="0.25">
      <c r="A997" s="5" t="s">
        <v>51</v>
      </c>
      <c r="B997" s="5" t="s">
        <v>1452</v>
      </c>
      <c r="C997" s="5" t="s">
        <v>1453</v>
      </c>
      <c r="D997" s="5" t="s">
        <v>1466</v>
      </c>
      <c r="E997" s="5">
        <v>47.984000000000002</v>
      </c>
      <c r="F997" s="5">
        <v>-103.97799999999999</v>
      </c>
      <c r="M997" s="5">
        <v>2.5</v>
      </c>
      <c r="P997" s="7">
        <v>40258</v>
      </c>
      <c r="Q997" s="5">
        <v>2010</v>
      </c>
      <c r="W997" s="5" t="s">
        <v>44</v>
      </c>
      <c r="AJ997" s="5" t="s">
        <v>1467</v>
      </c>
    </row>
    <row r="998" spans="1:36" x14ac:dyDescent="0.25">
      <c r="A998" s="5" t="s">
        <v>51</v>
      </c>
      <c r="B998" s="5" t="s">
        <v>1452</v>
      </c>
      <c r="C998" s="5" t="s">
        <v>1453</v>
      </c>
      <c r="D998" s="5" t="s">
        <v>1468</v>
      </c>
      <c r="E998" s="5">
        <v>46.585000000000001</v>
      </c>
      <c r="F998" s="5">
        <v>-104.44499999999999</v>
      </c>
      <c r="M998" s="5">
        <v>2.1</v>
      </c>
      <c r="P998" s="7">
        <v>40295</v>
      </c>
      <c r="Q998" s="5">
        <v>2010</v>
      </c>
      <c r="W998" s="5" t="s">
        <v>44</v>
      </c>
      <c r="AJ998" s="5" t="s">
        <v>1467</v>
      </c>
    </row>
    <row r="999" spans="1:36" x14ac:dyDescent="0.25">
      <c r="A999" s="5" t="s">
        <v>51</v>
      </c>
      <c r="B999" s="5" t="s">
        <v>1452</v>
      </c>
      <c r="C999" s="5" t="s">
        <v>1453</v>
      </c>
      <c r="D999" s="5" t="s">
        <v>2598</v>
      </c>
      <c r="E999" s="5">
        <v>35.4</v>
      </c>
      <c r="F999" s="5">
        <v>-101.8</v>
      </c>
      <c r="AI999" s="5" t="s">
        <v>2599</v>
      </c>
      <c r="AJ999" s="5" t="s">
        <v>2121</v>
      </c>
    </row>
    <row r="1000" spans="1:36" x14ac:dyDescent="0.25">
      <c r="A1000" s="14" t="s">
        <v>51</v>
      </c>
      <c r="B1000" s="5" t="s">
        <v>1469</v>
      </c>
      <c r="C1000" s="5" t="s">
        <v>1470</v>
      </c>
      <c r="D1000" s="14" t="s">
        <v>1471</v>
      </c>
      <c r="E1000" s="14">
        <v>40.100335000000001</v>
      </c>
      <c r="F1000" s="14">
        <v>-108.87672600000001</v>
      </c>
      <c r="G1000" s="5" t="s">
        <v>1472</v>
      </c>
      <c r="H1000" s="6">
        <v>25882</v>
      </c>
      <c r="J1000" s="6"/>
      <c r="L1000" s="14" t="s">
        <v>1368</v>
      </c>
      <c r="M1000" s="14">
        <v>3.1</v>
      </c>
      <c r="N1000" s="5" t="s">
        <v>65</v>
      </c>
      <c r="O1000" s="5">
        <v>2750</v>
      </c>
      <c r="P1000" s="13">
        <v>25679</v>
      </c>
      <c r="Q1000" s="14">
        <v>1970</v>
      </c>
      <c r="R1000" s="15"/>
      <c r="S1000" s="14">
        <v>3000</v>
      </c>
      <c r="T1000" s="5" t="s">
        <v>41</v>
      </c>
      <c r="U1000" s="5" t="s">
        <v>1473</v>
      </c>
      <c r="V1000" s="5">
        <v>2000</v>
      </c>
      <c r="W1000" s="5" t="s">
        <v>44</v>
      </c>
      <c r="AC1000" s="5">
        <v>570000</v>
      </c>
      <c r="AD1000" s="5" t="s">
        <v>92</v>
      </c>
      <c r="AE1000" s="5">
        <v>27.5</v>
      </c>
      <c r="AF1000" s="5">
        <v>12</v>
      </c>
      <c r="AG1000" s="5">
        <f>25.7-16.2</f>
        <v>9.5</v>
      </c>
      <c r="AI1000" s="5" t="s">
        <v>1474</v>
      </c>
      <c r="AJ1000" s="5" t="s">
        <v>1475</v>
      </c>
    </row>
    <row r="1001" spans="1:36" x14ac:dyDescent="0.25">
      <c r="A1001" s="5" t="s">
        <v>570</v>
      </c>
      <c r="B1001" s="5" t="s">
        <v>1469</v>
      </c>
      <c r="C1001" s="5" t="s">
        <v>1476</v>
      </c>
      <c r="D1001" s="5" t="s">
        <v>1477</v>
      </c>
      <c r="E1001" s="5">
        <v>-38.625962000000001</v>
      </c>
      <c r="F1001" s="5">
        <v>176.10493700000001</v>
      </c>
      <c r="G1001" s="6">
        <v>30859</v>
      </c>
      <c r="H1001" s="6">
        <v>30887</v>
      </c>
      <c r="I1001" s="6">
        <v>30860</v>
      </c>
      <c r="J1001" s="6">
        <v>30889</v>
      </c>
      <c r="K1001" s="5" t="s">
        <v>1478</v>
      </c>
      <c r="L1001" s="5">
        <v>124</v>
      </c>
      <c r="M1001" s="5">
        <v>3</v>
      </c>
      <c r="P1001" s="7" t="s">
        <v>1479</v>
      </c>
      <c r="Q1001" s="5">
        <v>1984</v>
      </c>
      <c r="S1001" s="5">
        <v>3000</v>
      </c>
      <c r="T1001" s="5" t="s">
        <v>1480</v>
      </c>
      <c r="U1001" s="5" t="s">
        <v>343</v>
      </c>
      <c r="V1001" s="5" t="s">
        <v>1481</v>
      </c>
      <c r="W1001" s="5" t="s">
        <v>1482</v>
      </c>
      <c r="AA1001" s="5">
        <f>668000/((60*60))</f>
        <v>185.55555555555554</v>
      </c>
      <c r="AB1001" s="5" t="s">
        <v>118</v>
      </c>
      <c r="AC1001" s="5">
        <f>3310+6067</f>
        <v>9377</v>
      </c>
      <c r="AD1001" s="5" t="s">
        <v>92</v>
      </c>
      <c r="AE1001" s="5">
        <v>3.5</v>
      </c>
      <c r="AH1001" s="5">
        <v>138</v>
      </c>
      <c r="AJ1001" s="5" t="s">
        <v>1483</v>
      </c>
    </row>
    <row r="1002" spans="1:36" x14ac:dyDescent="0.25">
      <c r="A1002" s="5" t="s">
        <v>651</v>
      </c>
      <c r="B1002" s="5" t="s">
        <v>1469</v>
      </c>
      <c r="C1002" s="5" t="s">
        <v>1484</v>
      </c>
      <c r="D1002" s="5" t="s">
        <v>1485</v>
      </c>
      <c r="E1002" s="5">
        <v>11.173018000000001</v>
      </c>
      <c r="F1002" s="5">
        <v>124.630005</v>
      </c>
      <c r="G1002" s="6">
        <v>35600</v>
      </c>
      <c r="H1002" s="6">
        <v>35611</v>
      </c>
      <c r="L1002" s="5" t="s">
        <v>747</v>
      </c>
      <c r="M1002" s="5">
        <v>3</v>
      </c>
      <c r="N1002" s="5" t="s">
        <v>1486</v>
      </c>
      <c r="U1002" s="5" t="s">
        <v>714</v>
      </c>
      <c r="V1002" s="5" t="s">
        <v>1487</v>
      </c>
      <c r="W1002" s="5" t="s">
        <v>73</v>
      </c>
      <c r="AA1002" s="5">
        <v>53</v>
      </c>
      <c r="AB1002" s="5" t="s">
        <v>118</v>
      </c>
      <c r="AC1002" s="5">
        <v>36000</v>
      </c>
      <c r="AD1002" s="5" t="s">
        <v>92</v>
      </c>
      <c r="AE1002" s="5">
        <v>9.5</v>
      </c>
      <c r="AI1002" s="5" t="s">
        <v>1488</v>
      </c>
      <c r="AJ1002" s="5" t="s">
        <v>1489</v>
      </c>
    </row>
    <row r="1003" spans="1:36" x14ac:dyDescent="0.25">
      <c r="A1003" s="5" t="s">
        <v>678</v>
      </c>
      <c r="B1003" s="5" t="s">
        <v>1469</v>
      </c>
      <c r="C1003" s="5" t="s">
        <v>1476</v>
      </c>
      <c r="D1003" s="5" t="s">
        <v>1490</v>
      </c>
      <c r="E1003" s="5">
        <v>36.566223999999998</v>
      </c>
      <c r="F1003" s="5">
        <v>138.208733</v>
      </c>
      <c r="G1003" s="6">
        <v>25583</v>
      </c>
      <c r="H1003" s="6">
        <v>25612</v>
      </c>
      <c r="I1003" s="6">
        <v>25593</v>
      </c>
      <c r="M1003" s="5">
        <v>2.8</v>
      </c>
      <c r="P1003" s="7">
        <v>25593</v>
      </c>
      <c r="Q1003" s="5">
        <v>1970</v>
      </c>
      <c r="S1003" s="5">
        <v>4000</v>
      </c>
      <c r="T1003" s="5" t="s">
        <v>1491</v>
      </c>
      <c r="U1003" s="5" t="s">
        <v>239</v>
      </c>
      <c r="V1003" s="5" t="s">
        <v>1492</v>
      </c>
      <c r="W1003" s="5" t="s">
        <v>73</v>
      </c>
      <c r="X1003" s="5" t="s">
        <v>1493</v>
      </c>
      <c r="AA1003" s="5">
        <v>5</v>
      </c>
      <c r="AB1003" s="5" t="s">
        <v>118</v>
      </c>
      <c r="AC1003" s="5">
        <v>2883</v>
      </c>
      <c r="AD1003" s="5" t="s">
        <v>92</v>
      </c>
      <c r="AE1003" s="5">
        <v>5</v>
      </c>
      <c r="AJ1003" s="5" t="s">
        <v>1494</v>
      </c>
    </row>
    <row r="1004" spans="1:36" x14ac:dyDescent="0.25">
      <c r="A1004" s="5" t="s">
        <v>164</v>
      </c>
      <c r="B1004" s="5" t="s">
        <v>1469</v>
      </c>
      <c r="C1004" s="5" t="s">
        <v>1495</v>
      </c>
      <c r="D1004" s="14" t="s">
        <v>1496</v>
      </c>
      <c r="E1004" s="14">
        <v>49.815713000000002</v>
      </c>
      <c r="F1004" s="14">
        <v>12.119527</v>
      </c>
      <c r="G1004" s="5">
        <v>1994</v>
      </c>
      <c r="H1004" s="5">
        <v>1994</v>
      </c>
      <c r="L1004" s="16">
        <v>400</v>
      </c>
      <c r="M1004" s="14">
        <v>1.4</v>
      </c>
      <c r="N1004" s="5" t="s">
        <v>40</v>
      </c>
      <c r="O1004" s="5">
        <v>8600</v>
      </c>
      <c r="P1004" s="14">
        <v>1994</v>
      </c>
      <c r="Q1004" s="14">
        <v>1994</v>
      </c>
      <c r="R1004" s="14"/>
      <c r="S1004" s="14">
        <v>500</v>
      </c>
      <c r="T1004" s="5" t="s">
        <v>700</v>
      </c>
      <c r="U1004" s="5" t="s">
        <v>1497</v>
      </c>
      <c r="V1004" s="5" t="s">
        <v>1498</v>
      </c>
      <c r="W1004" s="5" t="s">
        <v>44</v>
      </c>
      <c r="AA1004" s="5">
        <f>550/60</f>
        <v>9.1666666666666661</v>
      </c>
      <c r="AB1004" s="5" t="s">
        <v>118</v>
      </c>
      <c r="AC1004" s="5">
        <v>200</v>
      </c>
      <c r="AD1004" s="5" t="s">
        <v>92</v>
      </c>
      <c r="AE1004" s="5">
        <v>53</v>
      </c>
      <c r="AF1004" s="5">
        <v>1</v>
      </c>
      <c r="AG1004" s="5" t="s">
        <v>1499</v>
      </c>
      <c r="AH1004" s="5">
        <v>260</v>
      </c>
      <c r="AI1004" s="5" t="s">
        <v>1500</v>
      </c>
      <c r="AJ1004" s="5" t="s">
        <v>1501</v>
      </c>
    </row>
    <row r="1005" spans="1:36" x14ac:dyDescent="0.25">
      <c r="A1005" s="5" t="s">
        <v>153</v>
      </c>
      <c r="B1005" s="5" t="s">
        <v>1469</v>
      </c>
      <c r="C1005" s="5" t="s">
        <v>1484</v>
      </c>
      <c r="D1005" s="5" t="s">
        <v>1502</v>
      </c>
      <c r="E1005" s="5">
        <v>31.411534</v>
      </c>
      <c r="F1005" s="5">
        <v>104.130352</v>
      </c>
      <c r="G1005" s="5" t="s">
        <v>237</v>
      </c>
      <c r="H1005" s="5" t="s">
        <v>1164</v>
      </c>
      <c r="L1005" s="5">
        <v>20000</v>
      </c>
      <c r="M1005" s="5">
        <v>1</v>
      </c>
      <c r="S1005" s="5">
        <v>500</v>
      </c>
      <c r="U1005" s="5" t="s">
        <v>1503</v>
      </c>
      <c r="V1005" s="5" t="s">
        <v>1504</v>
      </c>
      <c r="W1005" s="5" t="s">
        <v>44</v>
      </c>
      <c r="AA1005" s="5">
        <f>100/60</f>
        <v>1.6666666666666667</v>
      </c>
      <c r="AB1005" s="5" t="s">
        <v>118</v>
      </c>
      <c r="AC1005" s="5">
        <v>47520</v>
      </c>
      <c r="AD1005" s="5" t="s">
        <v>92</v>
      </c>
      <c r="AE1005" s="5">
        <v>16.5</v>
      </c>
      <c r="AI1005" s="5" t="s">
        <v>1505</v>
      </c>
      <c r="AJ1005" s="5" t="s">
        <v>2714</v>
      </c>
    </row>
    <row r="1006" spans="1:36" x14ac:dyDescent="0.25">
      <c r="A1006" s="5" t="s">
        <v>164</v>
      </c>
      <c r="B1006" s="5" t="s">
        <v>1469</v>
      </c>
      <c r="C1006" s="5" t="s">
        <v>1506</v>
      </c>
      <c r="D1006" s="5" t="s">
        <v>1496</v>
      </c>
      <c r="E1006" s="14">
        <v>49.815713000000002</v>
      </c>
      <c r="F1006" s="14">
        <v>12.119527</v>
      </c>
      <c r="G1006" s="5" t="s">
        <v>1507</v>
      </c>
      <c r="I1006" s="5" t="s">
        <v>1508</v>
      </c>
      <c r="L1006" s="5">
        <v>3000</v>
      </c>
      <c r="M1006" s="5">
        <v>0.7</v>
      </c>
      <c r="N1006" s="5" t="s">
        <v>65</v>
      </c>
      <c r="U1006" s="5">
        <v>4000</v>
      </c>
      <c r="V1006" s="5">
        <v>4000</v>
      </c>
      <c r="W1006" s="5" t="s">
        <v>44</v>
      </c>
      <c r="AA1006" s="5">
        <f>200/60</f>
        <v>3.3333333333333335</v>
      </c>
      <c r="AB1006" s="5" t="s">
        <v>118</v>
      </c>
      <c r="AC1006" s="5">
        <v>84600</v>
      </c>
      <c r="AD1006" s="5" t="s">
        <v>92</v>
      </c>
      <c r="AE1006" s="5">
        <v>12.7</v>
      </c>
      <c r="AI1006" s="5" t="s">
        <v>1509</v>
      </c>
      <c r="AJ1006" s="5" t="s">
        <v>1510</v>
      </c>
    </row>
    <row r="1007" spans="1:36" x14ac:dyDescent="0.25">
      <c r="A1007" s="5" t="s">
        <v>678</v>
      </c>
      <c r="B1007" s="5" t="s">
        <v>1469</v>
      </c>
      <c r="C1007" s="5" t="s">
        <v>1484</v>
      </c>
      <c r="D1007" s="5" t="s">
        <v>1511</v>
      </c>
      <c r="E1007" s="5">
        <v>34.535300999999997</v>
      </c>
      <c r="F1007" s="5">
        <v>134.93699899999999</v>
      </c>
      <c r="G1007" s="6">
        <v>35470</v>
      </c>
      <c r="H1007" s="6">
        <v>35514</v>
      </c>
      <c r="M1007" s="5">
        <v>0.6</v>
      </c>
      <c r="P1007" s="5">
        <v>1997</v>
      </c>
      <c r="Q1007" s="5">
        <v>1997</v>
      </c>
      <c r="S1007" s="5">
        <v>4000</v>
      </c>
      <c r="U1007" s="5" t="s">
        <v>714</v>
      </c>
      <c r="V1007" s="5" t="s">
        <v>1512</v>
      </c>
      <c r="W1007" s="5" t="s">
        <v>73</v>
      </c>
      <c r="AA1007" s="5">
        <f>20/60</f>
        <v>0.33333333333333331</v>
      </c>
      <c r="AB1007" s="5" t="s">
        <v>118</v>
      </c>
      <c r="AC1007" s="5">
        <v>258</v>
      </c>
      <c r="AD1007" s="5" t="s">
        <v>92</v>
      </c>
      <c r="AE1007" s="5">
        <v>4.7</v>
      </c>
      <c r="AI1007" s="5" t="s">
        <v>1513</v>
      </c>
      <c r="AJ1007" s="5" t="s">
        <v>1514</v>
      </c>
    </row>
    <row r="1008" spans="1:36" x14ac:dyDescent="0.25">
      <c r="A1008" s="5" t="s">
        <v>51</v>
      </c>
      <c r="B1008" s="5" t="s">
        <v>1469</v>
      </c>
      <c r="C1008" s="5" t="s">
        <v>1484</v>
      </c>
      <c r="D1008" s="5" t="s">
        <v>2715</v>
      </c>
      <c r="E1008" s="5">
        <v>38.503027000000003</v>
      </c>
      <c r="F1008" s="5">
        <v>-112.894389</v>
      </c>
      <c r="G1008" s="6">
        <v>44672</v>
      </c>
      <c r="H1008" s="6">
        <v>44672</v>
      </c>
      <c r="I1008" s="6">
        <v>44672</v>
      </c>
      <c r="J1008" s="6">
        <v>44676</v>
      </c>
      <c r="L1008" s="5" t="s">
        <v>2716</v>
      </c>
      <c r="M1008" s="5">
        <v>0.52</v>
      </c>
      <c r="P1008" s="7" t="s">
        <v>2717</v>
      </c>
      <c r="Q1008" s="5">
        <v>2022</v>
      </c>
      <c r="T1008" s="5" t="s">
        <v>349</v>
      </c>
      <c r="V1008" s="5">
        <v>2591</v>
      </c>
      <c r="W1008" s="5" t="s">
        <v>44</v>
      </c>
      <c r="AA1008" s="5">
        <v>35</v>
      </c>
      <c r="AB1008" s="5" t="s">
        <v>2718</v>
      </c>
      <c r="AE1008" s="5">
        <v>49.6</v>
      </c>
      <c r="AI1008" s="5" t="s">
        <v>2719</v>
      </c>
      <c r="AJ1008" s="5" t="s">
        <v>2720</v>
      </c>
    </row>
    <row r="1009" spans="1:36" x14ac:dyDescent="0.25">
      <c r="A1009" s="5" t="s">
        <v>164</v>
      </c>
      <c r="B1009" s="5" t="s">
        <v>1469</v>
      </c>
      <c r="C1009" s="5" t="s">
        <v>1476</v>
      </c>
      <c r="D1009" s="14" t="s">
        <v>1496</v>
      </c>
      <c r="E1009" s="14">
        <v>49.815713000000002</v>
      </c>
      <c r="F1009" s="14">
        <v>12.119527</v>
      </c>
      <c r="G1009" s="5">
        <v>2000</v>
      </c>
      <c r="H1009" s="5">
        <v>2000</v>
      </c>
      <c r="L1009" s="14">
        <v>2800</v>
      </c>
      <c r="M1009" s="14">
        <v>0.5</v>
      </c>
      <c r="N1009" s="5" t="s">
        <v>65</v>
      </c>
      <c r="O1009" s="5">
        <v>8500</v>
      </c>
      <c r="P1009" s="14">
        <v>2000</v>
      </c>
      <c r="Q1009" s="14">
        <v>2000</v>
      </c>
      <c r="R1009" s="14"/>
      <c r="S1009" s="14"/>
      <c r="T1009" s="5" t="s">
        <v>700</v>
      </c>
      <c r="U1009" s="5" t="s">
        <v>1515</v>
      </c>
      <c r="V1009" s="5" t="s">
        <v>204</v>
      </c>
      <c r="W1009" s="5" t="s">
        <v>44</v>
      </c>
      <c r="AA1009" s="5">
        <v>1.2</v>
      </c>
      <c r="AB1009" s="5" t="s">
        <v>118</v>
      </c>
      <c r="AC1009" s="5">
        <v>4000</v>
      </c>
      <c r="AD1009" s="5" t="s">
        <v>92</v>
      </c>
      <c r="AE1009" s="5">
        <v>30</v>
      </c>
      <c r="AI1009" s="5" t="s">
        <v>1516</v>
      </c>
      <c r="AJ1009" s="5" t="s">
        <v>2721</v>
      </c>
    </row>
    <row r="1010" spans="1:36" x14ac:dyDescent="0.25">
      <c r="A1010" s="5" t="s">
        <v>189</v>
      </c>
      <c r="B1010" s="5" t="s">
        <v>1469</v>
      </c>
      <c r="C1010" s="5" t="s">
        <v>1517</v>
      </c>
      <c r="D1010" s="5" t="s">
        <v>1518</v>
      </c>
      <c r="E1010" s="5">
        <v>48.707298999999999</v>
      </c>
      <c r="F1010" s="5">
        <v>6.2986269999999998</v>
      </c>
      <c r="G1010" s="5">
        <v>2004</v>
      </c>
      <c r="H1010" s="5">
        <v>2009</v>
      </c>
      <c r="L1010" s="5">
        <v>50000</v>
      </c>
      <c r="M1010" s="5">
        <v>-0.8</v>
      </c>
      <c r="N1010" s="5" t="s">
        <v>40</v>
      </c>
      <c r="T1010" s="5" t="s">
        <v>859</v>
      </c>
      <c r="V1010" s="5" t="s">
        <v>1519</v>
      </c>
      <c r="W1010" s="5" t="s">
        <v>44</v>
      </c>
      <c r="AJ1010" s="5" t="s">
        <v>1520</v>
      </c>
    </row>
    <row r="1011" spans="1:36" x14ac:dyDescent="0.25">
      <c r="A1011" s="5" t="s">
        <v>189</v>
      </c>
      <c r="B1011" s="5" t="s">
        <v>1469</v>
      </c>
      <c r="C1011" s="5" t="s">
        <v>1484</v>
      </c>
      <c r="D1011" s="5" t="s">
        <v>1521</v>
      </c>
      <c r="E1011" s="5">
        <v>43.928724000000003</v>
      </c>
      <c r="F1011" s="5">
        <v>5.4871350000000003</v>
      </c>
      <c r="L1011" s="5">
        <v>80</v>
      </c>
      <c r="T1011" s="5" t="s">
        <v>116</v>
      </c>
      <c r="V1011" s="5">
        <v>282</v>
      </c>
      <c r="W1011" s="5" t="s">
        <v>44</v>
      </c>
      <c r="AA1011" s="5">
        <f>58/60</f>
        <v>0.96666666666666667</v>
      </c>
      <c r="AB1011" s="5" t="s">
        <v>118</v>
      </c>
      <c r="AC1011" s="5">
        <v>0.95</v>
      </c>
      <c r="AD1011" s="5" t="s">
        <v>92</v>
      </c>
      <c r="AE1011" s="5">
        <v>3.2</v>
      </c>
      <c r="AJ1011" s="5" t="s">
        <v>1522</v>
      </c>
    </row>
    <row r="1012" spans="1:36" x14ac:dyDescent="0.25">
      <c r="A1012" s="5" t="s">
        <v>164</v>
      </c>
      <c r="B1012" s="5" t="s">
        <v>1469</v>
      </c>
      <c r="C1012" s="5" t="s">
        <v>1523</v>
      </c>
      <c r="D1012" s="5" t="s">
        <v>1524</v>
      </c>
      <c r="E1012" s="5">
        <v>52.613793000000001</v>
      </c>
      <c r="F1012" s="5">
        <v>9.6615289999999998</v>
      </c>
      <c r="G1012" s="5" t="s">
        <v>1525</v>
      </c>
      <c r="T1012" s="5" t="s">
        <v>802</v>
      </c>
      <c r="W1012" s="5" t="s">
        <v>44</v>
      </c>
      <c r="AJ1012" s="5" t="s">
        <v>1526</v>
      </c>
    </row>
    <row r="1013" spans="1:36" x14ac:dyDescent="0.25">
      <c r="A1013" s="5" t="s">
        <v>51</v>
      </c>
      <c r="B1013" s="5" t="s">
        <v>1469</v>
      </c>
      <c r="C1013" s="5" t="s">
        <v>1527</v>
      </c>
      <c r="D1013" s="5" t="s">
        <v>1528</v>
      </c>
      <c r="E1013" s="5">
        <v>30.928640999999999</v>
      </c>
      <c r="F1013" s="5">
        <v>-94.254565999999997</v>
      </c>
      <c r="G1013" s="6">
        <v>34253</v>
      </c>
      <c r="H1013" s="6">
        <v>34258</v>
      </c>
      <c r="L1013" s="5">
        <v>2900</v>
      </c>
      <c r="T1013" s="5" t="s">
        <v>41</v>
      </c>
      <c r="V1013" s="5" t="s">
        <v>1529</v>
      </c>
      <c r="W1013" s="5" t="s">
        <v>44</v>
      </c>
      <c r="AA1013" s="5">
        <f>((16/6.29)*1000)/60</f>
        <v>42.395336512983576</v>
      </c>
      <c r="AB1013" s="5" t="s">
        <v>118</v>
      </c>
      <c r="AC1013" s="5">
        <v>8000</v>
      </c>
      <c r="AD1013" s="5" t="s">
        <v>92</v>
      </c>
      <c r="AI1013" s="5" t="s">
        <v>1530</v>
      </c>
      <c r="AJ1013" s="5" t="s">
        <v>1531</v>
      </c>
    </row>
    <row r="1014" spans="1:36" x14ac:dyDescent="0.25">
      <c r="A1014" s="5" t="s">
        <v>561</v>
      </c>
      <c r="B1014" s="5" t="s">
        <v>1469</v>
      </c>
      <c r="C1014" s="5" t="s">
        <v>1532</v>
      </c>
      <c r="D1014" s="5" t="s">
        <v>1533</v>
      </c>
      <c r="E1014" s="5">
        <v>46.561588999999998</v>
      </c>
      <c r="F1014" s="5">
        <v>8.3446300000000004</v>
      </c>
      <c r="G1014" s="6"/>
      <c r="H1014" s="6"/>
      <c r="T1014" s="5" t="s">
        <v>1534</v>
      </c>
      <c r="V1014" s="5">
        <v>450</v>
      </c>
      <c r="W1014" s="5" t="s">
        <v>44</v>
      </c>
      <c r="AC1014" s="5">
        <f>18.3/1000</f>
        <v>1.83E-2</v>
      </c>
      <c r="AD1014" s="5" t="s">
        <v>92</v>
      </c>
      <c r="AJ1014" s="5" t="s">
        <v>1535</v>
      </c>
    </row>
    <row r="1015" spans="1:36" x14ac:dyDescent="0.25">
      <c r="A1015" s="5" t="s">
        <v>51</v>
      </c>
      <c r="B1015" s="5" t="s">
        <v>1469</v>
      </c>
      <c r="C1015" s="5" t="s">
        <v>1484</v>
      </c>
      <c r="D1015" s="5" t="s">
        <v>2722</v>
      </c>
      <c r="E1015" s="5">
        <v>44.351696810213902</v>
      </c>
      <c r="F1015" s="5">
        <v>-103.751336131209</v>
      </c>
      <c r="G1015" s="5">
        <v>2018</v>
      </c>
      <c r="H1015" s="6"/>
      <c r="I1015" s="6">
        <v>44687</v>
      </c>
      <c r="V1015" s="5">
        <v>1250</v>
      </c>
      <c r="W1015" s="5" t="s">
        <v>44</v>
      </c>
      <c r="AA1015" s="5">
        <v>5</v>
      </c>
      <c r="AB1015" s="5" t="s">
        <v>2723</v>
      </c>
      <c r="AI1015" s="5" t="s">
        <v>2724</v>
      </c>
      <c r="AJ1015" s="5" t="s">
        <v>2725</v>
      </c>
    </row>
    <row r="1016" spans="1:36" x14ac:dyDescent="0.25">
      <c r="A1016" s="5" t="s">
        <v>51</v>
      </c>
      <c r="B1016" s="5" t="s">
        <v>1536</v>
      </c>
      <c r="C1016" s="5" t="s">
        <v>1537</v>
      </c>
      <c r="D1016" s="5" t="s">
        <v>1538</v>
      </c>
      <c r="E1016" s="5">
        <v>36.430999999999997</v>
      </c>
      <c r="F1016" s="5">
        <v>-96.930999999999997</v>
      </c>
      <c r="M1016" s="5">
        <v>5.8</v>
      </c>
      <c r="N1016" s="5" t="s">
        <v>40</v>
      </c>
      <c r="O1016" s="5">
        <v>5600</v>
      </c>
      <c r="P1016" s="7">
        <v>42616</v>
      </c>
      <c r="Q1016" s="5">
        <v>2016</v>
      </c>
      <c r="R1016" s="6"/>
      <c r="W1016" s="5" t="s">
        <v>44</v>
      </c>
      <c r="AC1016" s="5">
        <v>8840000</v>
      </c>
      <c r="AD1016" s="5" t="s">
        <v>92</v>
      </c>
      <c r="AJ1016" s="1" t="s">
        <v>1539</v>
      </c>
    </row>
    <row r="1017" spans="1:36" x14ac:dyDescent="0.25">
      <c r="A1017" s="5" t="s">
        <v>51</v>
      </c>
      <c r="B1017" s="5" t="s">
        <v>1536</v>
      </c>
      <c r="C1017" s="5" t="s">
        <v>1537</v>
      </c>
      <c r="D1017" s="5" t="s">
        <v>1540</v>
      </c>
      <c r="E1017" s="5">
        <v>35.561824000000001</v>
      </c>
      <c r="F1017" s="5">
        <v>-96.749797000000001</v>
      </c>
      <c r="G1017" s="5">
        <v>1993</v>
      </c>
      <c r="I1017" s="5">
        <v>2010</v>
      </c>
      <c r="K1017" s="5" t="s">
        <v>1541</v>
      </c>
      <c r="L1017" s="5" t="s">
        <v>1542</v>
      </c>
      <c r="M1017" s="5">
        <v>5.7</v>
      </c>
      <c r="N1017" s="5" t="s">
        <v>40</v>
      </c>
      <c r="P1017" s="7">
        <v>40853</v>
      </c>
      <c r="Q1017" s="5">
        <v>2011</v>
      </c>
      <c r="R1017" s="6"/>
      <c r="T1017" s="5" t="s">
        <v>116</v>
      </c>
      <c r="U1017" s="5" t="s">
        <v>181</v>
      </c>
      <c r="V1017" s="5" t="s">
        <v>1543</v>
      </c>
      <c r="W1017" s="5" t="s">
        <v>44</v>
      </c>
      <c r="AA1017" s="5">
        <f>(1400*1000)/(60*60*24*30)</f>
        <v>0.54012345679012341</v>
      </c>
      <c r="AB1017" s="5" t="s">
        <v>118</v>
      </c>
      <c r="AC1017" s="5">
        <v>170000</v>
      </c>
      <c r="AD1017" s="5" t="s">
        <v>92</v>
      </c>
      <c r="AE1017" s="5">
        <v>3.6</v>
      </c>
      <c r="AJ1017" s="5" t="s">
        <v>1544</v>
      </c>
    </row>
    <row r="1018" spans="1:36" x14ac:dyDescent="0.25">
      <c r="A1018" s="5" t="s">
        <v>123</v>
      </c>
      <c r="B1018" s="5" t="s">
        <v>1536</v>
      </c>
      <c r="C1018" s="5" t="s">
        <v>2460</v>
      </c>
      <c r="D1018" s="5" t="s">
        <v>2461</v>
      </c>
      <c r="E1018" s="5">
        <v>56.08</v>
      </c>
      <c r="F1018" s="5">
        <v>-119.81</v>
      </c>
      <c r="M1018" s="5">
        <v>5.4</v>
      </c>
      <c r="N1018" s="5" t="s">
        <v>40</v>
      </c>
      <c r="O1018" s="5">
        <v>16000</v>
      </c>
      <c r="P1018" s="7">
        <v>36995</v>
      </c>
      <c r="Q1018" s="5">
        <v>2001</v>
      </c>
      <c r="R1018" s="6"/>
      <c r="W1018" s="5" t="s">
        <v>44</v>
      </c>
      <c r="AI1018" s="5" t="s">
        <v>2462</v>
      </c>
      <c r="AJ1018" s="5" t="s">
        <v>2463</v>
      </c>
    </row>
    <row r="1019" spans="1:36" x14ac:dyDescent="0.25">
      <c r="A1019" s="5" t="s">
        <v>153</v>
      </c>
      <c r="B1019" s="5" t="s">
        <v>1536</v>
      </c>
      <c r="D1019" s="5" t="s">
        <v>2726</v>
      </c>
      <c r="E1019" s="5">
        <v>29.033000000000001</v>
      </c>
      <c r="F1019" s="5">
        <v>104.633</v>
      </c>
      <c r="M1019" s="5">
        <v>5.4</v>
      </c>
      <c r="P1019" s="7">
        <v>35123</v>
      </c>
      <c r="Q1019" s="5">
        <v>1996</v>
      </c>
      <c r="R1019" s="6"/>
      <c r="AJ1019" s="5" t="s">
        <v>2727</v>
      </c>
    </row>
    <row r="1020" spans="1:36" ht="16.5" x14ac:dyDescent="0.3">
      <c r="A1020" s="5" t="s">
        <v>51</v>
      </c>
      <c r="B1020" s="5" t="s">
        <v>1536</v>
      </c>
      <c r="C1020" s="5" t="s">
        <v>1537</v>
      </c>
      <c r="D1020" s="5" t="s">
        <v>1545</v>
      </c>
      <c r="E1020" s="5">
        <v>37.023280999999997</v>
      </c>
      <c r="F1020" s="5">
        <v>-104.781255</v>
      </c>
      <c r="G1020" s="5" t="s">
        <v>1546</v>
      </c>
      <c r="I1020" s="6">
        <v>37138</v>
      </c>
      <c r="L1020" s="5" t="s">
        <v>2359</v>
      </c>
      <c r="M1020" s="5">
        <v>5.3</v>
      </c>
      <c r="N1020" s="5" t="s">
        <v>40</v>
      </c>
      <c r="O1020" s="5">
        <v>4300</v>
      </c>
      <c r="P1020" s="7">
        <v>40778</v>
      </c>
      <c r="Q1020" s="5">
        <v>2011</v>
      </c>
      <c r="R1020" s="5">
        <v>3700</v>
      </c>
      <c r="T1020" s="5" t="s">
        <v>41</v>
      </c>
      <c r="U1020" s="5" t="s">
        <v>239</v>
      </c>
      <c r="V1020" s="5" t="s">
        <v>1547</v>
      </c>
      <c r="W1020" s="5" t="s">
        <v>44</v>
      </c>
      <c r="AA1020" s="5">
        <f>((479000/6.29)*1000)/(60*60*24*30)</f>
        <v>29.37987006614458</v>
      </c>
      <c r="AB1020" s="5" t="s">
        <v>118</v>
      </c>
      <c r="AC1020" s="5">
        <v>4900000</v>
      </c>
      <c r="AD1020" s="5" t="s">
        <v>92</v>
      </c>
      <c r="AE1020" s="5">
        <v>0</v>
      </c>
      <c r="AJ1020" s="5" t="s">
        <v>1548</v>
      </c>
    </row>
    <row r="1021" spans="1:36" x14ac:dyDescent="0.25">
      <c r="A1021" s="5" t="s">
        <v>153</v>
      </c>
      <c r="B1021" s="5" t="s">
        <v>1536</v>
      </c>
      <c r="C1021" s="5" t="s">
        <v>1537</v>
      </c>
      <c r="D1021" s="5" t="s">
        <v>1549</v>
      </c>
      <c r="E1021" s="5">
        <v>29.416664000000001</v>
      </c>
      <c r="F1021" s="5">
        <v>105.583333</v>
      </c>
      <c r="G1021" s="5" t="s">
        <v>1550</v>
      </c>
      <c r="I1021" s="5" t="s">
        <v>1551</v>
      </c>
      <c r="L1021" s="5" t="s">
        <v>1552</v>
      </c>
      <c r="M1021" s="5">
        <v>5.2</v>
      </c>
      <c r="N1021" s="5" t="s">
        <v>65</v>
      </c>
      <c r="O1021" s="5">
        <v>13000</v>
      </c>
      <c r="P1021" s="7">
        <v>35655</v>
      </c>
      <c r="Q1021" s="5">
        <v>1997</v>
      </c>
      <c r="R1021" s="6"/>
      <c r="T1021" s="5" t="s">
        <v>116</v>
      </c>
      <c r="U1021" s="5" t="s">
        <v>1553</v>
      </c>
      <c r="V1021" s="5" t="s">
        <v>1554</v>
      </c>
      <c r="W1021" s="5" t="s">
        <v>44</v>
      </c>
      <c r="AA1021" s="5">
        <f>683/60</f>
        <v>11.383333333333333</v>
      </c>
      <c r="AB1021" s="5" t="s">
        <v>118</v>
      </c>
      <c r="AC1021" s="5">
        <v>1000000</v>
      </c>
      <c r="AD1021" s="5" t="s">
        <v>92</v>
      </c>
      <c r="AE1021" s="5">
        <v>2.9</v>
      </c>
      <c r="AI1021" s="5" t="s">
        <v>1555</v>
      </c>
      <c r="AJ1021" s="5" t="s">
        <v>2728</v>
      </c>
    </row>
    <row r="1022" spans="1:36" x14ac:dyDescent="0.25">
      <c r="A1022" s="5" t="s">
        <v>51</v>
      </c>
      <c r="B1022" s="5" t="s">
        <v>1536</v>
      </c>
      <c r="C1022" s="5" t="s">
        <v>1537</v>
      </c>
      <c r="D1022" s="5" t="s">
        <v>1556</v>
      </c>
      <c r="E1022" s="5">
        <v>36.479999999999997</v>
      </c>
      <c r="F1022" s="5">
        <v>-98.73</v>
      </c>
      <c r="G1022" s="5" t="s">
        <v>1557</v>
      </c>
      <c r="M1022" s="5">
        <v>5.0999999999999996</v>
      </c>
      <c r="N1022" s="5" t="s">
        <v>40</v>
      </c>
      <c r="O1022" s="5">
        <v>9100</v>
      </c>
      <c r="P1022" s="7">
        <v>42413</v>
      </c>
      <c r="Q1022" s="5">
        <v>2016</v>
      </c>
      <c r="R1022" s="6"/>
      <c r="S1022" s="5">
        <v>20000</v>
      </c>
      <c r="T1022" s="5" t="s">
        <v>1558</v>
      </c>
      <c r="U1022" s="5" t="s">
        <v>1559</v>
      </c>
      <c r="V1022" s="5">
        <v>2500</v>
      </c>
      <c r="W1022" s="5" t="s">
        <v>44</v>
      </c>
      <c r="AA1022" s="5">
        <f>(((15.3*10^6)/6.29)*1000)/(60*60*24*(365/12))</f>
        <v>925.58311736393921</v>
      </c>
      <c r="AB1022" s="5" t="s">
        <v>118</v>
      </c>
      <c r="AC1022" s="5">
        <v>3550000</v>
      </c>
      <c r="AD1022" s="5" t="s">
        <v>92</v>
      </c>
      <c r="AI1022" s="5" t="s">
        <v>1560</v>
      </c>
      <c r="AJ1022" t="s">
        <v>1561</v>
      </c>
    </row>
    <row r="1023" spans="1:36" x14ac:dyDescent="0.25">
      <c r="A1023" s="5" t="s">
        <v>123</v>
      </c>
      <c r="B1023" s="5" t="s">
        <v>1536</v>
      </c>
      <c r="C1023" s="5" t="s">
        <v>1537</v>
      </c>
      <c r="D1023" s="5" t="s">
        <v>2882</v>
      </c>
      <c r="E1023" s="5">
        <v>56.164695999999999</v>
      </c>
      <c r="F1023" s="5">
        <v>-116.674114</v>
      </c>
      <c r="G1023" s="5">
        <v>2013</v>
      </c>
      <c r="I1023" s="5">
        <v>2017</v>
      </c>
      <c r="K1023" s="5" t="s">
        <v>2729</v>
      </c>
      <c r="M1023" s="5">
        <v>5.05</v>
      </c>
      <c r="N1023" s="5" t="s">
        <v>40</v>
      </c>
      <c r="O1023" s="5">
        <v>4000</v>
      </c>
      <c r="P1023" s="7">
        <v>44895</v>
      </c>
      <c r="Q1023" s="5">
        <v>2022</v>
      </c>
      <c r="U1023" s="5">
        <v>3900</v>
      </c>
      <c r="V1023" s="5">
        <v>1900</v>
      </c>
      <c r="W1023" s="5" t="s">
        <v>44</v>
      </c>
      <c r="AA1023" s="5">
        <v>9.9</v>
      </c>
      <c r="AB1023" s="5" t="s">
        <v>2730</v>
      </c>
      <c r="AC1023" s="5">
        <v>1800000</v>
      </c>
      <c r="AD1023" s="5" t="s">
        <v>92</v>
      </c>
      <c r="AI1023" s="5" t="s">
        <v>2731</v>
      </c>
      <c r="AJ1023" s="5" t="s">
        <v>2732</v>
      </c>
    </row>
    <row r="1024" spans="1:36" x14ac:dyDescent="0.25">
      <c r="A1024" s="5" t="s">
        <v>51</v>
      </c>
      <c r="B1024" s="5" t="s">
        <v>1536</v>
      </c>
      <c r="C1024" s="5" t="s">
        <v>1588</v>
      </c>
      <c r="D1024" s="5" t="s">
        <v>1608</v>
      </c>
      <c r="E1024" s="5">
        <v>35.901018000000001</v>
      </c>
      <c r="F1024" s="5">
        <v>-96.806531000000007</v>
      </c>
      <c r="I1024" s="5" t="s">
        <v>2464</v>
      </c>
      <c r="K1024" s="5" t="s">
        <v>1609</v>
      </c>
      <c r="M1024" s="5">
        <v>5</v>
      </c>
      <c r="N1024" s="5" t="s">
        <v>40</v>
      </c>
      <c r="O1024" s="5">
        <v>4430</v>
      </c>
      <c r="P1024" s="7">
        <v>42681</v>
      </c>
      <c r="Q1024" s="5">
        <v>2016</v>
      </c>
      <c r="U1024" s="5" t="s">
        <v>714</v>
      </c>
      <c r="W1024" s="5" t="s">
        <v>44</v>
      </c>
      <c r="AA1024" s="5">
        <f>((15800/6.29)*1000)/(60*60*24)</f>
        <v>29.073190837896725</v>
      </c>
      <c r="AB1024" s="5" t="s">
        <v>118</v>
      </c>
      <c r="AC1024" s="5">
        <v>6820000</v>
      </c>
      <c r="AD1024" s="5" t="s">
        <v>92</v>
      </c>
      <c r="AI1024" s="5" t="s">
        <v>1610</v>
      </c>
      <c r="AJ1024" s="5" t="s">
        <v>1611</v>
      </c>
    </row>
    <row r="1025" spans="1:36" x14ac:dyDescent="0.25">
      <c r="A1025" s="5" t="s">
        <v>51</v>
      </c>
      <c r="B1025" s="5" t="s">
        <v>1536</v>
      </c>
      <c r="C1025" s="5" t="s">
        <v>1588</v>
      </c>
      <c r="D1025" s="5" t="s">
        <v>2553</v>
      </c>
      <c r="E1025" s="5">
        <v>31.716999999999999</v>
      </c>
      <c r="F1025" s="5">
        <v>-104.042</v>
      </c>
      <c r="G1025" s="5" t="s">
        <v>2554</v>
      </c>
      <c r="H1025" s="5" t="s">
        <v>2555</v>
      </c>
      <c r="I1025" s="5" t="s">
        <v>2556</v>
      </c>
      <c r="K1025" s="5" t="s">
        <v>2557</v>
      </c>
      <c r="L1025" s="5" t="s">
        <v>2558</v>
      </c>
      <c r="M1025" s="5">
        <v>5</v>
      </c>
      <c r="N1025" s="5" t="s">
        <v>81</v>
      </c>
      <c r="O1025" s="5">
        <v>6200</v>
      </c>
      <c r="P1025" s="7">
        <v>43916</v>
      </c>
      <c r="Q1025" s="5">
        <v>2020</v>
      </c>
      <c r="S1025" s="5">
        <v>35000</v>
      </c>
      <c r="T1025" s="5" t="s">
        <v>116</v>
      </c>
      <c r="U1025" s="5" t="s">
        <v>181</v>
      </c>
      <c r="V1025" s="5" t="s">
        <v>2559</v>
      </c>
      <c r="W1025" s="5" t="s">
        <v>44</v>
      </c>
      <c r="AA1025" s="5">
        <f>(((17.52*10^5)/6.29)*1000)/(60*60*24*(365/12))</f>
        <v>105.98834128245893</v>
      </c>
      <c r="AB1025" s="5" t="s">
        <v>118</v>
      </c>
      <c r="AC1025" s="5">
        <f>(1286.5*10^5)/6.29</f>
        <v>20453100.158982512</v>
      </c>
      <c r="AD1025" s="5" t="s">
        <v>92</v>
      </c>
      <c r="AG1025" s="5">
        <v>8.0500000000000002E-2</v>
      </c>
      <c r="AI1025" s="5" t="s">
        <v>2560</v>
      </c>
      <c r="AJ1025" s="5" t="s">
        <v>2561</v>
      </c>
    </row>
    <row r="1026" spans="1:36" x14ac:dyDescent="0.25">
      <c r="A1026" s="5" t="s">
        <v>51</v>
      </c>
      <c r="B1026" s="5" t="s">
        <v>1536</v>
      </c>
      <c r="C1026" s="5" t="s">
        <v>1537</v>
      </c>
      <c r="D1026" s="5" t="s">
        <v>1562</v>
      </c>
      <c r="E1026" s="5">
        <v>41.65</v>
      </c>
      <c r="F1026" s="5">
        <v>-81.162001000000004</v>
      </c>
      <c r="G1026" s="5" t="s">
        <v>1563</v>
      </c>
      <c r="I1026" s="6">
        <v>31443</v>
      </c>
      <c r="J1026" s="6">
        <v>31517</v>
      </c>
      <c r="L1026" s="5" t="s">
        <v>1564</v>
      </c>
      <c r="M1026" s="5">
        <v>4.9000000000000004</v>
      </c>
      <c r="N1026" s="5" t="s">
        <v>40</v>
      </c>
      <c r="O1026" s="5">
        <v>3250</v>
      </c>
      <c r="P1026" s="7">
        <v>31443</v>
      </c>
      <c r="Q1026" s="5">
        <v>1986</v>
      </c>
      <c r="S1026" s="5">
        <v>15000</v>
      </c>
      <c r="U1026" s="5" t="s">
        <v>1565</v>
      </c>
      <c r="V1026" s="5">
        <v>1800</v>
      </c>
      <c r="W1026" s="5" t="s">
        <v>44</v>
      </c>
      <c r="AA1026" s="5">
        <f>(13.8*1000000)/(60*60*24*30)</f>
        <v>5.3240740740740744</v>
      </c>
      <c r="AB1026" s="5" t="s">
        <v>118</v>
      </c>
      <c r="AC1026" s="5">
        <v>1190000</v>
      </c>
      <c r="AD1026" s="5" t="s">
        <v>92</v>
      </c>
      <c r="AE1026" s="5">
        <v>11.2</v>
      </c>
      <c r="AF1026" s="5" t="s">
        <v>1566</v>
      </c>
      <c r="AJ1026" s="5" t="s">
        <v>1567</v>
      </c>
    </row>
    <row r="1027" spans="1:36" x14ac:dyDescent="0.25">
      <c r="A1027" s="5" t="s">
        <v>51</v>
      </c>
      <c r="B1027" s="5" t="s">
        <v>1536</v>
      </c>
      <c r="C1027" s="5" t="s">
        <v>1537</v>
      </c>
      <c r="D1027" s="5" t="s">
        <v>2045</v>
      </c>
      <c r="E1027" s="5">
        <v>37.259704999999997</v>
      </c>
      <c r="F1027" s="5">
        <v>-97.674083999999993</v>
      </c>
      <c r="M1027" s="5">
        <v>4.9000000000000004</v>
      </c>
      <c r="N1027" s="5" t="s">
        <v>40</v>
      </c>
      <c r="P1027" s="7">
        <v>41955</v>
      </c>
      <c r="Q1027" s="5">
        <v>2014</v>
      </c>
      <c r="R1027" s="6"/>
      <c r="T1027" s="5" t="s">
        <v>1558</v>
      </c>
      <c r="W1027" s="5" t="s">
        <v>44</v>
      </c>
      <c r="AF1027" s="5" t="s">
        <v>2255</v>
      </c>
      <c r="AJ1027" s="5" t="s">
        <v>2256</v>
      </c>
    </row>
    <row r="1028" spans="1:36" x14ac:dyDescent="0.25">
      <c r="A1028" s="5" t="s">
        <v>51</v>
      </c>
      <c r="B1028" s="5" t="s">
        <v>1536</v>
      </c>
      <c r="C1028" s="5" t="s">
        <v>1527</v>
      </c>
      <c r="D1028" s="5" t="s">
        <v>1568</v>
      </c>
      <c r="E1028" s="5">
        <v>39.833266000000002</v>
      </c>
      <c r="F1028" s="5">
        <v>-104.833315</v>
      </c>
      <c r="G1028" s="6">
        <v>22713</v>
      </c>
      <c r="H1028" s="5" t="s">
        <v>1569</v>
      </c>
      <c r="I1028" s="5" t="s">
        <v>1570</v>
      </c>
      <c r="J1028" s="5" t="s">
        <v>1571</v>
      </c>
      <c r="L1028" s="5" t="s">
        <v>574</v>
      </c>
      <c r="M1028" s="5">
        <v>4.8499999999999996</v>
      </c>
      <c r="N1028" s="5" t="s">
        <v>40</v>
      </c>
      <c r="O1028" s="5">
        <v>5000</v>
      </c>
      <c r="P1028" s="5">
        <v>1967</v>
      </c>
      <c r="Q1028" s="5">
        <v>1967</v>
      </c>
      <c r="S1028" s="5">
        <v>9000</v>
      </c>
      <c r="T1028" s="5" t="s">
        <v>700</v>
      </c>
      <c r="U1028" s="5" t="s">
        <v>1572</v>
      </c>
      <c r="V1028" s="5" t="s">
        <v>1573</v>
      </c>
      <c r="W1028" s="5" t="s">
        <v>44</v>
      </c>
      <c r="AA1028" s="5">
        <f>380/60</f>
        <v>6.333333333333333</v>
      </c>
      <c r="AB1028" s="5" t="s">
        <v>118</v>
      </c>
      <c r="AC1028" s="5">
        <v>625000</v>
      </c>
      <c r="AD1028" s="5" t="s">
        <v>92</v>
      </c>
      <c r="AE1028" s="5">
        <v>7.2</v>
      </c>
      <c r="AF1028" s="5">
        <v>7.2</v>
      </c>
      <c r="AI1028" s="5" t="s">
        <v>1574</v>
      </c>
      <c r="AJ1028" s="5" t="s">
        <v>1575</v>
      </c>
    </row>
    <row r="1029" spans="1:36" x14ac:dyDescent="0.25">
      <c r="A1029" s="5" t="s">
        <v>2403</v>
      </c>
      <c r="B1029" s="5" t="s">
        <v>1536</v>
      </c>
      <c r="C1029" s="5" t="s">
        <v>1537</v>
      </c>
      <c r="D1029" s="5" t="s">
        <v>2600</v>
      </c>
      <c r="E1029" s="5">
        <v>3.7669190000000001</v>
      </c>
      <c r="F1029" s="5">
        <v>-71.38776</v>
      </c>
      <c r="G1029" s="6" t="s">
        <v>2601</v>
      </c>
      <c r="I1029" s="5" t="s">
        <v>54</v>
      </c>
      <c r="K1029" s="5" t="s">
        <v>2404</v>
      </c>
      <c r="L1029" s="5">
        <v>1108</v>
      </c>
      <c r="M1029" s="5">
        <v>4.8</v>
      </c>
      <c r="N1029" s="5" t="s">
        <v>40</v>
      </c>
      <c r="P1029" s="5">
        <v>2015</v>
      </c>
      <c r="Q1029" s="5">
        <v>2015</v>
      </c>
      <c r="U1029" s="5" t="s">
        <v>528</v>
      </c>
      <c r="V1029" s="5" t="s">
        <v>2602</v>
      </c>
      <c r="W1029" s="5" t="s">
        <v>73</v>
      </c>
      <c r="AC1029" s="5">
        <v>700000000</v>
      </c>
      <c r="AD1029" s="5" t="s">
        <v>92</v>
      </c>
      <c r="AE1029" s="5">
        <v>12</v>
      </c>
      <c r="AI1029" s="5" t="s">
        <v>2603</v>
      </c>
      <c r="AJ1029" s="5" t="s">
        <v>2604</v>
      </c>
    </row>
    <row r="1030" spans="1:36" x14ac:dyDescent="0.25">
      <c r="A1030" s="5" t="s">
        <v>51</v>
      </c>
      <c r="B1030" s="5" t="s">
        <v>1536</v>
      </c>
      <c r="C1030" s="5" t="s">
        <v>1537</v>
      </c>
      <c r="D1030" s="5" t="s">
        <v>1576</v>
      </c>
      <c r="E1030" s="5">
        <v>31.882950999999998</v>
      </c>
      <c r="F1030" s="5">
        <v>-94.430778000000004</v>
      </c>
      <c r="G1030" s="6" t="s">
        <v>1577</v>
      </c>
      <c r="I1030" s="6" t="s">
        <v>1578</v>
      </c>
      <c r="J1030" s="6">
        <v>41519</v>
      </c>
      <c r="M1030" s="5">
        <v>4.8</v>
      </c>
      <c r="N1030" s="5" t="s">
        <v>1579</v>
      </c>
      <c r="P1030" s="7">
        <v>41046</v>
      </c>
      <c r="Q1030" s="5">
        <v>2012</v>
      </c>
      <c r="R1030" s="5">
        <v>2300</v>
      </c>
      <c r="S1030" s="5">
        <v>6400</v>
      </c>
      <c r="T1030" s="5" t="s">
        <v>116</v>
      </c>
      <c r="U1030" s="5" t="s">
        <v>1580</v>
      </c>
      <c r="V1030" s="5" t="s">
        <v>1581</v>
      </c>
      <c r="W1030" s="5" t="s">
        <v>44</v>
      </c>
      <c r="AA1030" s="5">
        <f>(42750*1000)/(60*60*24*30)</f>
        <v>16.493055555555557</v>
      </c>
      <c r="AB1030" s="5" t="s">
        <v>118</v>
      </c>
      <c r="AC1030" s="5">
        <v>3950000</v>
      </c>
      <c r="AD1030" s="5" t="s">
        <v>92</v>
      </c>
      <c r="AE1030" s="5">
        <f>2500/145.038</f>
        <v>17.236862063735021</v>
      </c>
      <c r="AJ1030" s="5" t="s">
        <v>1582</v>
      </c>
    </row>
    <row r="1031" spans="1:36" x14ac:dyDescent="0.25">
      <c r="A1031" s="5" t="s">
        <v>51</v>
      </c>
      <c r="B1031" s="5" t="s">
        <v>1536</v>
      </c>
      <c r="C1031" s="5" t="s">
        <v>1537</v>
      </c>
      <c r="D1031" s="5" t="s">
        <v>1583</v>
      </c>
      <c r="E1031" s="5">
        <v>35.273595999999998</v>
      </c>
      <c r="F1031" s="5">
        <v>-92.318164999999993</v>
      </c>
      <c r="G1031" s="6">
        <v>40366</v>
      </c>
      <c r="H1031" s="6">
        <v>40605</v>
      </c>
      <c r="I1031" s="6">
        <v>40444</v>
      </c>
      <c r="L1031" s="5">
        <v>1000</v>
      </c>
      <c r="M1031" s="5">
        <v>4.7</v>
      </c>
      <c r="P1031" s="7">
        <v>40601</v>
      </c>
      <c r="Q1031" s="5">
        <v>2011</v>
      </c>
      <c r="S1031" s="5">
        <v>6000</v>
      </c>
      <c r="T1031" s="5" t="s">
        <v>116</v>
      </c>
      <c r="U1031" s="5" t="s">
        <v>1584</v>
      </c>
      <c r="V1031" s="5" t="s">
        <v>1585</v>
      </c>
      <c r="W1031" s="5" t="s">
        <v>44</v>
      </c>
      <c r="X1031" s="5" t="s">
        <v>2360</v>
      </c>
      <c r="AA1031" s="5">
        <f>(((15*10^4)/6.29)*1000)/(60*60*24*30)</f>
        <v>9.2003768474356704</v>
      </c>
      <c r="AB1031" s="5" t="s">
        <v>118</v>
      </c>
      <c r="AC1031" s="5">
        <v>629000</v>
      </c>
      <c r="AD1031" s="5" t="s">
        <v>92</v>
      </c>
      <c r="AE1031" s="5">
        <v>19.600000000000001</v>
      </c>
      <c r="AI1031" s="5" t="s">
        <v>1586</v>
      </c>
      <c r="AJ1031" s="5" t="s">
        <v>1587</v>
      </c>
    </row>
    <row r="1032" spans="1:36" x14ac:dyDescent="0.25">
      <c r="A1032" s="5" t="s">
        <v>51</v>
      </c>
      <c r="B1032" s="5" t="s">
        <v>1536</v>
      </c>
      <c r="C1032" s="5" t="s">
        <v>1588</v>
      </c>
      <c r="D1032" s="5" t="s">
        <v>1589</v>
      </c>
      <c r="E1032" s="5">
        <v>35.452452999999998</v>
      </c>
      <c r="F1032" s="5">
        <v>-118.99171</v>
      </c>
      <c r="M1032" s="5">
        <v>4.5999999999999996</v>
      </c>
      <c r="N1032" s="5" t="s">
        <v>65</v>
      </c>
      <c r="Q1032" s="5">
        <v>1985</v>
      </c>
      <c r="W1032" s="5" t="s">
        <v>90</v>
      </c>
      <c r="AA1032" s="5">
        <f>(((1055*1000)/6.29)*1000)/(60*60*24*30)</f>
        <v>64.709317160297559</v>
      </c>
      <c r="AB1032" s="5" t="s">
        <v>118</v>
      </c>
      <c r="AJ1032" s="5" t="s">
        <v>1590</v>
      </c>
    </row>
    <row r="1033" spans="1:36" x14ac:dyDescent="0.25">
      <c r="A1033" s="5" t="s">
        <v>51</v>
      </c>
      <c r="B1033" s="5" t="s">
        <v>1536</v>
      </c>
      <c r="C1033" s="5" t="s">
        <v>1537</v>
      </c>
      <c r="D1033" s="5" t="s">
        <v>1591</v>
      </c>
      <c r="E1033" s="5">
        <v>34.990113999999998</v>
      </c>
      <c r="F1033" s="5">
        <v>-118.926051</v>
      </c>
      <c r="G1033" s="5">
        <v>2001</v>
      </c>
      <c r="H1033" s="6"/>
      <c r="I1033" s="6"/>
      <c r="M1033" s="5">
        <v>4.5999999999999996</v>
      </c>
      <c r="N1033" s="5" t="s">
        <v>40</v>
      </c>
      <c r="O1033" s="5">
        <v>9000</v>
      </c>
      <c r="P1033" s="7">
        <v>38617</v>
      </c>
      <c r="Q1033" s="5">
        <v>2005</v>
      </c>
      <c r="R1033" s="5">
        <v>8000</v>
      </c>
      <c r="T1033" s="5" t="s">
        <v>41</v>
      </c>
      <c r="U1033" s="5" t="s">
        <v>1592</v>
      </c>
      <c r="V1033" s="5">
        <v>1500</v>
      </c>
      <c r="W1033" s="5" t="s">
        <v>90</v>
      </c>
      <c r="AA1033" s="5">
        <f>(57000*1000)/(60*60*24*30)</f>
        <v>21.99074074074074</v>
      </c>
      <c r="AB1033" s="5" t="s">
        <v>118</v>
      </c>
      <c r="AC1033" s="5">
        <v>1800000</v>
      </c>
      <c r="AD1033" s="5" t="s">
        <v>92</v>
      </c>
      <c r="AJ1033" s="5" t="s">
        <v>1593</v>
      </c>
    </row>
    <row r="1034" spans="1:36" x14ac:dyDescent="0.25">
      <c r="A1034" s="5" t="s">
        <v>153</v>
      </c>
      <c r="B1034" s="5" t="s">
        <v>1536</v>
      </c>
      <c r="C1034" s="5" t="s">
        <v>1537</v>
      </c>
      <c r="D1034" s="5" t="s">
        <v>1594</v>
      </c>
      <c r="E1034" s="5">
        <v>29.382688999999999</v>
      </c>
      <c r="F1034" s="5">
        <v>105.050618</v>
      </c>
      <c r="G1034" s="6">
        <v>39822</v>
      </c>
      <c r="H1034" s="5" t="s">
        <v>441</v>
      </c>
      <c r="L1034" s="5" t="s">
        <v>1595</v>
      </c>
      <c r="M1034" s="5">
        <v>4.4000000000000004</v>
      </c>
      <c r="N1034" s="5" t="s">
        <v>65</v>
      </c>
      <c r="P1034" s="7">
        <v>39860</v>
      </c>
      <c r="Q1034" s="5">
        <v>2009</v>
      </c>
      <c r="R1034" s="6"/>
      <c r="S1034" s="5">
        <v>3000</v>
      </c>
      <c r="T1034" s="5" t="s">
        <v>116</v>
      </c>
      <c r="U1034" s="5" t="s">
        <v>657</v>
      </c>
      <c r="V1034" s="5" t="s">
        <v>1596</v>
      </c>
      <c r="W1034" s="5" t="s">
        <v>44</v>
      </c>
      <c r="X1034" s="5" t="s">
        <v>1597</v>
      </c>
      <c r="AA1034" s="10">
        <f>(500*1000)/(60*60*24)</f>
        <v>5.7870370370370372</v>
      </c>
      <c r="AB1034" s="5" t="s">
        <v>118</v>
      </c>
      <c r="AC1034" s="5">
        <f>130000+150000</f>
        <v>280000</v>
      </c>
      <c r="AD1034" s="5" t="s">
        <v>92</v>
      </c>
      <c r="AE1034" s="5">
        <v>6.2</v>
      </c>
      <c r="AG1034" s="5" t="s">
        <v>1598</v>
      </c>
      <c r="AI1034" s="5" t="s">
        <v>1599</v>
      </c>
      <c r="AJ1034" s="5" t="s">
        <v>2733</v>
      </c>
    </row>
    <row r="1035" spans="1:36" x14ac:dyDescent="0.25">
      <c r="A1035" s="5" t="s">
        <v>51</v>
      </c>
      <c r="B1035" s="5" t="s">
        <v>1536</v>
      </c>
      <c r="C1035" s="5" t="s">
        <v>1600</v>
      </c>
      <c r="D1035" s="5" t="s">
        <v>1601</v>
      </c>
      <c r="E1035" s="5">
        <v>38.296546999999997</v>
      </c>
      <c r="F1035" s="5">
        <v>-108.895006</v>
      </c>
      <c r="G1035" s="5" t="s">
        <v>640</v>
      </c>
      <c r="K1035" s="5" t="s">
        <v>1602</v>
      </c>
      <c r="L1035" s="5" t="s">
        <v>1603</v>
      </c>
      <c r="M1035" s="5">
        <v>4.3</v>
      </c>
      <c r="P1035" s="7">
        <v>36673</v>
      </c>
      <c r="Q1035" s="5">
        <v>2000</v>
      </c>
      <c r="S1035" s="5">
        <v>8000</v>
      </c>
      <c r="T1035" s="5" t="s">
        <v>1604</v>
      </c>
      <c r="U1035" s="5" t="s">
        <v>1605</v>
      </c>
      <c r="V1035" s="5" t="s">
        <v>1606</v>
      </c>
      <c r="W1035" s="5" t="s">
        <v>44</v>
      </c>
      <c r="AA1035" s="5">
        <f>1290/60</f>
        <v>21.5</v>
      </c>
      <c r="AB1035" s="5" t="s">
        <v>118</v>
      </c>
      <c r="AC1035" s="5">
        <v>4000000</v>
      </c>
      <c r="AD1035" s="5" t="s">
        <v>92</v>
      </c>
      <c r="AE1035" s="5">
        <v>34.5</v>
      </c>
      <c r="AF1035" s="5" t="s">
        <v>1607</v>
      </c>
      <c r="AG1035" s="5" t="s">
        <v>2547</v>
      </c>
      <c r="AJ1035" s="5" t="s">
        <v>2548</v>
      </c>
    </row>
    <row r="1036" spans="1:36" x14ac:dyDescent="0.25">
      <c r="A1036" s="5" t="s">
        <v>51</v>
      </c>
      <c r="B1036" s="5" t="s">
        <v>1536</v>
      </c>
      <c r="C1036" s="5" t="s">
        <v>1527</v>
      </c>
      <c r="D1036" s="5" t="s">
        <v>1612</v>
      </c>
      <c r="E1036" s="5">
        <v>41.907741999999999</v>
      </c>
      <c r="F1036" s="5">
        <v>-80.733883000000006</v>
      </c>
      <c r="G1036" s="5">
        <v>1986</v>
      </c>
      <c r="H1036" s="5" t="s">
        <v>1613</v>
      </c>
      <c r="I1036" s="5">
        <v>1987</v>
      </c>
      <c r="M1036" s="5">
        <v>4.3</v>
      </c>
      <c r="N1036" s="5" t="s">
        <v>230</v>
      </c>
      <c r="O1036" s="5">
        <v>3750</v>
      </c>
      <c r="P1036" s="7">
        <v>36917</v>
      </c>
      <c r="Q1036" s="5">
        <v>2001</v>
      </c>
      <c r="R1036" s="5">
        <v>6500</v>
      </c>
      <c r="S1036" s="5">
        <v>9000</v>
      </c>
      <c r="T1036" s="5" t="s">
        <v>1558</v>
      </c>
      <c r="U1036" s="5" t="s">
        <v>1614</v>
      </c>
      <c r="V1036" s="5">
        <v>1800</v>
      </c>
      <c r="W1036" s="5" t="s">
        <v>44</v>
      </c>
      <c r="AA1036" s="5">
        <f>(164*1000)/(60*60*24)</f>
        <v>1.8981481481481481</v>
      </c>
      <c r="AB1036" s="5" t="s">
        <v>118</v>
      </c>
      <c r="AC1036" s="5">
        <v>340000</v>
      </c>
      <c r="AD1036" s="5" t="s">
        <v>92</v>
      </c>
      <c r="AE1036" s="5">
        <v>10</v>
      </c>
      <c r="AF1036" s="5">
        <v>10</v>
      </c>
      <c r="AJ1036" s="5" t="s">
        <v>1615</v>
      </c>
    </row>
    <row r="1037" spans="1:36" x14ac:dyDescent="0.25">
      <c r="A1037" s="5" t="s">
        <v>51</v>
      </c>
      <c r="B1037" s="5" t="s">
        <v>1536</v>
      </c>
      <c r="C1037" s="5" t="s">
        <v>1588</v>
      </c>
      <c r="D1037" s="5" t="s">
        <v>1616</v>
      </c>
      <c r="E1037" s="5">
        <v>35.603858000000002</v>
      </c>
      <c r="F1037" s="5">
        <v>-119.70556000000001</v>
      </c>
      <c r="M1037" s="5">
        <v>4.2</v>
      </c>
      <c r="N1037" s="5" t="s">
        <v>65</v>
      </c>
      <c r="P1037" s="7">
        <v>32195</v>
      </c>
      <c r="Q1037" s="5">
        <v>1988</v>
      </c>
      <c r="S1037" s="5">
        <v>1500</v>
      </c>
      <c r="W1037" s="5" t="s">
        <v>90</v>
      </c>
      <c r="AA1037" s="5">
        <f>(((1186*1000)/6.29)*1000)/(60*60*24*30)</f>
        <v>72.744312940391367</v>
      </c>
      <c r="AB1037" s="5" t="s">
        <v>118</v>
      </c>
      <c r="AJ1037" s="5" t="s">
        <v>1590</v>
      </c>
    </row>
    <row r="1038" spans="1:36" x14ac:dyDescent="0.25">
      <c r="A1038" s="5" t="s">
        <v>51</v>
      </c>
      <c r="B1038" s="5" t="s">
        <v>1536</v>
      </c>
      <c r="C1038" s="5" t="s">
        <v>1537</v>
      </c>
      <c r="D1038" s="5" t="s">
        <v>1617</v>
      </c>
      <c r="E1038" s="5">
        <v>32.527262999999998</v>
      </c>
      <c r="F1038" s="5">
        <v>-104.308088</v>
      </c>
      <c r="G1038" s="5">
        <v>1998</v>
      </c>
      <c r="H1038" s="5">
        <v>2014</v>
      </c>
      <c r="I1038" s="6"/>
      <c r="J1038" s="6"/>
      <c r="M1038" s="5">
        <v>4.0999999999999996</v>
      </c>
      <c r="N1038" s="5" t="s">
        <v>40</v>
      </c>
      <c r="P1038" s="7" t="s">
        <v>1618</v>
      </c>
      <c r="Q1038" s="5">
        <v>2005</v>
      </c>
      <c r="T1038" s="5" t="s">
        <v>1619</v>
      </c>
      <c r="W1038" s="5" t="s">
        <v>44</v>
      </c>
      <c r="AA1038" s="5">
        <f>(150000*1000)/(60*60*24*30)</f>
        <v>57.870370370370374</v>
      </c>
      <c r="AB1038" s="5" t="s">
        <v>118</v>
      </c>
      <c r="AC1038" s="5">
        <v>14500000</v>
      </c>
      <c r="AD1038" s="5" t="s">
        <v>92</v>
      </c>
      <c r="AI1038" s="5" t="s">
        <v>1620</v>
      </c>
      <c r="AJ1038" s="5" t="s">
        <v>1621</v>
      </c>
    </row>
    <row r="1039" spans="1:36" x14ac:dyDescent="0.25">
      <c r="A1039" s="5" t="s">
        <v>51</v>
      </c>
      <c r="B1039" s="5" t="s">
        <v>1536</v>
      </c>
      <c r="C1039" s="5" t="s">
        <v>1537</v>
      </c>
      <c r="D1039" s="5" t="s">
        <v>2046</v>
      </c>
      <c r="E1039" s="5">
        <v>37.195256999999998</v>
      </c>
      <c r="F1039" s="5">
        <v>-97.944021000000006</v>
      </c>
      <c r="I1039" s="5">
        <v>2013</v>
      </c>
      <c r="J1039" s="6"/>
      <c r="M1039" s="5">
        <v>4.0999999999999996</v>
      </c>
      <c r="N1039" s="5" t="s">
        <v>40</v>
      </c>
      <c r="P1039" s="7" t="s">
        <v>1987</v>
      </c>
      <c r="Q1039" s="5">
        <v>2015</v>
      </c>
      <c r="T1039" s="5" t="s">
        <v>1558</v>
      </c>
      <c r="U1039" s="5" t="s">
        <v>2047</v>
      </c>
      <c r="V1039" s="5" t="s">
        <v>2048</v>
      </c>
      <c r="W1039" s="5" t="s">
        <v>44</v>
      </c>
      <c r="AI1039" s="5" t="s">
        <v>2049</v>
      </c>
      <c r="AJ1039" s="5" t="s">
        <v>2050</v>
      </c>
    </row>
    <row r="1040" spans="1:36" x14ac:dyDescent="0.25">
      <c r="A1040" s="5" t="s">
        <v>123</v>
      </c>
      <c r="B1040" s="5" t="s">
        <v>1536</v>
      </c>
      <c r="C1040" s="5" t="s">
        <v>1537</v>
      </c>
      <c r="D1040" s="5" t="s">
        <v>2734</v>
      </c>
      <c r="E1040" s="5">
        <v>56.381002000000002</v>
      </c>
      <c r="F1040" s="5">
        <v>-116.791016</v>
      </c>
      <c r="G1040" s="5">
        <v>1986</v>
      </c>
      <c r="J1040" s="6"/>
      <c r="M1040" s="5">
        <v>4.04</v>
      </c>
      <c r="N1040" s="5" t="s">
        <v>65</v>
      </c>
      <c r="O1040" s="5">
        <v>5000</v>
      </c>
      <c r="P1040" s="7">
        <v>41850</v>
      </c>
      <c r="Q1040" s="5">
        <v>2014</v>
      </c>
      <c r="V1040" s="5" t="s">
        <v>1581</v>
      </c>
      <c r="W1040" s="5" t="s">
        <v>44</v>
      </c>
      <c r="AA1040" s="5">
        <v>11.4</v>
      </c>
      <c r="AB1040" s="5" t="s">
        <v>118</v>
      </c>
      <c r="AC1040" s="5">
        <v>81000000</v>
      </c>
      <c r="AD1040" s="5" t="s">
        <v>92</v>
      </c>
      <c r="AI1040" s="5" t="s">
        <v>2735</v>
      </c>
      <c r="AJ1040" s="5" t="s">
        <v>2732</v>
      </c>
    </row>
    <row r="1041" spans="1:36" x14ac:dyDescent="0.25">
      <c r="A1041" s="5" t="s">
        <v>51</v>
      </c>
      <c r="B1041" s="5" t="s">
        <v>1536</v>
      </c>
      <c r="C1041" s="5" t="s">
        <v>1588</v>
      </c>
      <c r="D1041" s="5" t="s">
        <v>1622</v>
      </c>
      <c r="E1041" s="5">
        <v>39.252381</v>
      </c>
      <c r="F1041" s="5">
        <v>-99.563010000000006</v>
      </c>
      <c r="M1041" s="5">
        <v>4</v>
      </c>
      <c r="P1041" s="5">
        <v>1989</v>
      </c>
      <c r="Q1041" s="5">
        <v>1989</v>
      </c>
      <c r="W1041" s="5" t="s">
        <v>44</v>
      </c>
      <c r="AJ1041" s="5" t="s">
        <v>1623</v>
      </c>
    </row>
    <row r="1042" spans="1:36" x14ac:dyDescent="0.25">
      <c r="A1042" s="5" t="s">
        <v>123</v>
      </c>
      <c r="B1042" s="5" t="s">
        <v>1536</v>
      </c>
      <c r="C1042" s="5" t="s">
        <v>1537</v>
      </c>
      <c r="D1042" s="5" t="s">
        <v>1638</v>
      </c>
      <c r="E1042" s="5">
        <v>52.735863000000002</v>
      </c>
      <c r="F1042" s="5">
        <v>-116.185761</v>
      </c>
      <c r="G1042" s="6" t="s">
        <v>1639</v>
      </c>
      <c r="H1042" s="6"/>
      <c r="I1042" s="6"/>
      <c r="J1042" s="6"/>
      <c r="M1042" s="5">
        <v>4</v>
      </c>
      <c r="N1042" s="5" t="s">
        <v>65</v>
      </c>
      <c r="P1042" s="7">
        <v>35520</v>
      </c>
      <c r="Q1042" s="5">
        <v>1997</v>
      </c>
      <c r="R1042" s="6"/>
      <c r="T1042" s="5" t="s">
        <v>116</v>
      </c>
      <c r="V1042" s="5" t="s">
        <v>1640</v>
      </c>
      <c r="W1042" s="5" t="s">
        <v>44</v>
      </c>
      <c r="AA1042" s="10">
        <f>(12000*1000)/(60*60*24*30)</f>
        <v>4.6296296296296298</v>
      </c>
      <c r="AB1042" s="5" t="s">
        <v>118</v>
      </c>
      <c r="AC1042" s="5">
        <v>1000000</v>
      </c>
      <c r="AD1042" s="5" t="s">
        <v>92</v>
      </c>
      <c r="AJ1042" s="5" t="s">
        <v>1641</v>
      </c>
    </row>
    <row r="1043" spans="1:36" x14ac:dyDescent="0.25">
      <c r="A1043" s="5" t="s">
        <v>51</v>
      </c>
      <c r="B1043" s="5" t="s">
        <v>1536</v>
      </c>
      <c r="C1043" s="5" t="s">
        <v>1537</v>
      </c>
      <c r="D1043" s="5" t="s">
        <v>1632</v>
      </c>
      <c r="E1043" s="5">
        <v>35.565689999999996</v>
      </c>
      <c r="F1043" s="5">
        <v>-97.286403000000007</v>
      </c>
      <c r="G1043" s="5">
        <v>2005</v>
      </c>
      <c r="I1043" s="5">
        <v>2008</v>
      </c>
      <c r="M1043" s="5">
        <v>4</v>
      </c>
      <c r="P1043" s="7" t="s">
        <v>1633</v>
      </c>
      <c r="Q1043" s="5">
        <v>2008</v>
      </c>
      <c r="S1043" s="5">
        <v>35000</v>
      </c>
      <c r="T1043" s="5" t="s">
        <v>116</v>
      </c>
      <c r="U1043" s="5" t="s">
        <v>436</v>
      </c>
      <c r="V1043" s="5" t="s">
        <v>1634</v>
      </c>
      <c r="W1043" s="5" t="s">
        <v>44</v>
      </c>
      <c r="AA1043" s="5">
        <f>(((5.2*10^6)/6.29)*1000)/(60*60*24*30)</f>
        <v>318.94639737776993</v>
      </c>
      <c r="AB1043" s="5" t="s">
        <v>118</v>
      </c>
      <c r="AC1043" s="5">
        <f>(3.4*10^8)/6.29</f>
        <v>54054054.054054052</v>
      </c>
      <c r="AD1043" s="5" t="s">
        <v>92</v>
      </c>
      <c r="AE1043" s="5">
        <v>4.2</v>
      </c>
      <c r="AF1043" s="5" t="s">
        <v>1635</v>
      </c>
      <c r="AI1043" s="5" t="s">
        <v>1636</v>
      </c>
      <c r="AJ1043" s="5" t="s">
        <v>1637</v>
      </c>
    </row>
    <row r="1044" spans="1:36" x14ac:dyDescent="0.25">
      <c r="A1044" s="5" t="s">
        <v>123</v>
      </c>
      <c r="B1044" s="5" t="s">
        <v>1536</v>
      </c>
      <c r="C1044" s="5" t="s">
        <v>1537</v>
      </c>
      <c r="D1044" s="5" t="s">
        <v>1624</v>
      </c>
      <c r="E1044" s="5">
        <v>56.416035000000001</v>
      </c>
      <c r="F1044" s="5">
        <v>-122.206761</v>
      </c>
      <c r="G1044" s="6" t="s">
        <v>1625</v>
      </c>
      <c r="H1044" s="6"/>
      <c r="I1044" s="6">
        <v>37929</v>
      </c>
      <c r="J1044" s="6"/>
      <c r="L1044" s="5">
        <v>197</v>
      </c>
      <c r="M1044" s="5">
        <v>4</v>
      </c>
      <c r="N1044" s="5" t="s">
        <v>65</v>
      </c>
      <c r="P1044" s="5">
        <v>2010</v>
      </c>
      <c r="Q1044" s="5">
        <v>2010</v>
      </c>
      <c r="R1044" s="6"/>
      <c r="S1044" s="5">
        <v>5000</v>
      </c>
      <c r="W1044" s="5" t="s">
        <v>44</v>
      </c>
      <c r="AA1044" s="10">
        <f>(500*1000)/(60*60*24)</f>
        <v>5.7870370370370372</v>
      </c>
      <c r="AB1044" s="5" t="s">
        <v>118</v>
      </c>
      <c r="AC1044" s="5">
        <v>1250000</v>
      </c>
      <c r="AD1044" s="5" t="s">
        <v>92</v>
      </c>
      <c r="AE1044" s="5">
        <v>3</v>
      </c>
      <c r="AI1044" s="5" t="s">
        <v>1626</v>
      </c>
      <c r="AJ1044" s="5" t="s">
        <v>435</v>
      </c>
    </row>
    <row r="1045" spans="1:36" x14ac:dyDescent="0.25">
      <c r="A1045" s="5" t="s">
        <v>51</v>
      </c>
      <c r="B1045" s="5" t="s">
        <v>1536</v>
      </c>
      <c r="C1045" s="5" t="s">
        <v>1588</v>
      </c>
      <c r="D1045" s="5" t="s">
        <v>1627</v>
      </c>
      <c r="E1045" s="5">
        <v>35.771411000000001</v>
      </c>
      <c r="F1045" s="5">
        <v>-97.519630000000006</v>
      </c>
      <c r="M1045" s="5">
        <v>4</v>
      </c>
      <c r="P1045" s="5">
        <v>2014</v>
      </c>
      <c r="Q1045" s="5">
        <v>2014</v>
      </c>
      <c r="U1045" s="5" t="s">
        <v>1628</v>
      </c>
      <c r="V1045" s="5" t="s">
        <v>1629</v>
      </c>
      <c r="W1045" s="5" t="s">
        <v>44</v>
      </c>
      <c r="AI1045" s="5" t="s">
        <v>1630</v>
      </c>
      <c r="AJ1045" s="5" t="s">
        <v>1631</v>
      </c>
    </row>
    <row r="1046" spans="1:36" x14ac:dyDescent="0.25">
      <c r="A1046" s="5" t="s">
        <v>51</v>
      </c>
      <c r="B1046" s="5" t="s">
        <v>1536</v>
      </c>
      <c r="C1046" s="5" t="s">
        <v>1537</v>
      </c>
      <c r="D1046" s="5" t="s">
        <v>2004</v>
      </c>
      <c r="E1046" s="5">
        <v>32.435985000000002</v>
      </c>
      <c r="F1046" s="5">
        <v>-97.104580999999996</v>
      </c>
      <c r="G1046" s="5">
        <v>2008</v>
      </c>
      <c r="I1046" s="5">
        <v>2008</v>
      </c>
      <c r="J1046" s="6"/>
      <c r="M1046" s="5">
        <v>4</v>
      </c>
      <c r="N1046" s="5" t="s">
        <v>40</v>
      </c>
      <c r="O1046" s="5">
        <v>2500</v>
      </c>
      <c r="P1046" s="7">
        <v>42131</v>
      </c>
      <c r="Q1046" s="5">
        <v>2015</v>
      </c>
      <c r="T1046" s="5" t="s">
        <v>116</v>
      </c>
      <c r="U1046" s="5" t="s">
        <v>284</v>
      </c>
      <c r="V1046" s="5" t="s">
        <v>2005</v>
      </c>
      <c r="W1046" s="5" t="s">
        <v>44</v>
      </c>
      <c r="AC1046" s="5">
        <v>28000000</v>
      </c>
      <c r="AD1046" s="5" t="s">
        <v>92</v>
      </c>
      <c r="AG1046" s="5" t="s">
        <v>2006</v>
      </c>
      <c r="AI1046" s="5" t="s">
        <v>2007</v>
      </c>
      <c r="AJ1046" s="5" t="s">
        <v>2008</v>
      </c>
    </row>
    <row r="1047" spans="1:36" x14ac:dyDescent="0.25">
      <c r="A1047" s="5" t="s">
        <v>123</v>
      </c>
      <c r="B1047" s="5" t="s">
        <v>1536</v>
      </c>
      <c r="C1047" s="5" t="s">
        <v>1537</v>
      </c>
      <c r="D1047" s="5" t="s">
        <v>2580</v>
      </c>
      <c r="E1047" s="5">
        <v>54.525402999999997</v>
      </c>
      <c r="F1047" s="5">
        <v>-118.509573</v>
      </c>
      <c r="G1047" s="5" t="s">
        <v>2081</v>
      </c>
      <c r="I1047" s="5" t="s">
        <v>2581</v>
      </c>
      <c r="J1047" s="6" t="s">
        <v>2582</v>
      </c>
      <c r="L1047" s="5" t="s">
        <v>2583</v>
      </c>
      <c r="M1047" s="5">
        <v>3.94</v>
      </c>
      <c r="N1047" s="5" t="s">
        <v>65</v>
      </c>
      <c r="P1047" s="7">
        <v>43824</v>
      </c>
      <c r="Q1047" s="5">
        <v>2019</v>
      </c>
      <c r="T1047" s="5" t="s">
        <v>116</v>
      </c>
      <c r="U1047" s="5" t="s">
        <v>2584</v>
      </c>
      <c r="V1047" s="5" t="s">
        <v>552</v>
      </c>
      <c r="W1047" s="5" t="s">
        <v>44</v>
      </c>
      <c r="AC1047" s="5">
        <v>5000000</v>
      </c>
      <c r="AD1047" s="5" t="s">
        <v>92</v>
      </c>
      <c r="AI1047" s="5" t="s">
        <v>2585</v>
      </c>
      <c r="AJ1047" s="5" t="s">
        <v>2586</v>
      </c>
    </row>
    <row r="1048" spans="1:36" x14ac:dyDescent="0.25">
      <c r="A1048" s="5" t="s">
        <v>51</v>
      </c>
      <c r="B1048" s="5" t="s">
        <v>1536</v>
      </c>
      <c r="C1048" s="5" t="s">
        <v>1537</v>
      </c>
      <c r="D1048" s="5" t="s">
        <v>1642</v>
      </c>
      <c r="E1048" s="5">
        <v>41.118549999999999</v>
      </c>
      <c r="F1048" s="5">
        <v>-80.692149999999998</v>
      </c>
      <c r="G1048" s="6">
        <v>40541</v>
      </c>
      <c r="H1048" s="6">
        <v>40907</v>
      </c>
      <c r="I1048" s="6">
        <v>40554</v>
      </c>
      <c r="J1048" s="5" t="s">
        <v>575</v>
      </c>
      <c r="K1048" s="5" t="s">
        <v>1643</v>
      </c>
      <c r="L1048" s="5">
        <v>167</v>
      </c>
      <c r="M1048" s="5">
        <v>3.88</v>
      </c>
      <c r="N1048" s="5" t="s">
        <v>40</v>
      </c>
      <c r="O1048" s="5">
        <v>3670</v>
      </c>
      <c r="P1048" s="7">
        <v>40908</v>
      </c>
      <c r="Q1048" s="5">
        <v>2011</v>
      </c>
      <c r="R1048" s="6"/>
      <c r="S1048" s="5">
        <v>4000</v>
      </c>
      <c r="T1048" s="5" t="s">
        <v>41</v>
      </c>
      <c r="U1048" s="5" t="s">
        <v>1644</v>
      </c>
      <c r="V1048" s="5" t="s">
        <v>1645</v>
      </c>
      <c r="W1048" s="5" t="s">
        <v>44</v>
      </c>
      <c r="X1048" s="5" t="s">
        <v>1646</v>
      </c>
      <c r="AA1048" s="5">
        <f>(320*1000)/(60*60*24)</f>
        <v>3.7037037037037037</v>
      </c>
      <c r="AB1048" s="5" t="s">
        <v>118</v>
      </c>
      <c r="AC1048" s="5">
        <v>78797.600000000006</v>
      </c>
      <c r="AD1048" s="5" t="s">
        <v>92</v>
      </c>
      <c r="AE1048" s="5">
        <v>17.2</v>
      </c>
      <c r="AJ1048" s="5" t="s">
        <v>1647</v>
      </c>
    </row>
    <row r="1049" spans="1:36" x14ac:dyDescent="0.25">
      <c r="A1049" s="5" t="s">
        <v>51</v>
      </c>
      <c r="B1049" s="5" t="s">
        <v>1536</v>
      </c>
      <c r="C1049" s="5" t="s">
        <v>1527</v>
      </c>
      <c r="D1049" s="5" t="s">
        <v>1648</v>
      </c>
      <c r="E1049" s="5">
        <v>30.226175999999999</v>
      </c>
      <c r="F1049" s="5">
        <v>-93.217749999999995</v>
      </c>
      <c r="I1049" s="5">
        <v>1983</v>
      </c>
      <c r="M1049" s="5">
        <v>3.8</v>
      </c>
      <c r="N1049" s="5" t="s">
        <v>65</v>
      </c>
      <c r="W1049" s="5" t="s">
        <v>44</v>
      </c>
      <c r="AF1049" s="5">
        <v>9.3000000000000007</v>
      </c>
      <c r="AJ1049" s="5" t="s">
        <v>1210</v>
      </c>
    </row>
    <row r="1050" spans="1:36" x14ac:dyDescent="0.25">
      <c r="A1050" s="5" t="s">
        <v>51</v>
      </c>
      <c r="B1050" s="5" t="s">
        <v>1536</v>
      </c>
      <c r="C1050" s="5" t="s">
        <v>1537</v>
      </c>
      <c r="D1050" s="5" t="s">
        <v>1649</v>
      </c>
      <c r="E1050" s="5">
        <v>32.292999999999999</v>
      </c>
      <c r="F1050" s="5">
        <v>-97.372</v>
      </c>
      <c r="G1050" s="6" t="s">
        <v>602</v>
      </c>
      <c r="H1050" s="6"/>
      <c r="I1050" s="6">
        <v>39966</v>
      </c>
      <c r="J1050" s="6"/>
      <c r="L1050" s="5" t="s">
        <v>1650</v>
      </c>
      <c r="M1050" s="5">
        <v>3.5</v>
      </c>
      <c r="N1050" s="5" t="s">
        <v>230</v>
      </c>
      <c r="P1050" s="7">
        <v>41084</v>
      </c>
      <c r="Q1050" s="5">
        <v>2012</v>
      </c>
      <c r="R1050" s="6"/>
      <c r="S1050" s="5" t="s">
        <v>1651</v>
      </c>
      <c r="T1050" s="5" t="s">
        <v>116</v>
      </c>
      <c r="U1050" s="5" t="s">
        <v>1652</v>
      </c>
      <c r="V1050" s="5" t="s">
        <v>1653</v>
      </c>
      <c r="W1050" s="5" t="s">
        <v>44</v>
      </c>
      <c r="AA1050" s="5">
        <f>((600000/6.29)*1000)/(60*60*24*30)</f>
        <v>36.801507389742682</v>
      </c>
      <c r="AB1050" s="5" t="s">
        <v>118</v>
      </c>
      <c r="AJ1050" s="5" t="s">
        <v>1654</v>
      </c>
    </row>
    <row r="1051" spans="1:36" x14ac:dyDescent="0.25">
      <c r="A1051" s="5" t="s">
        <v>51</v>
      </c>
      <c r="B1051" s="5" t="s">
        <v>1536</v>
      </c>
      <c r="C1051" s="5" t="s">
        <v>1537</v>
      </c>
      <c r="D1051" s="5" t="s">
        <v>2361</v>
      </c>
      <c r="E1051" s="5">
        <v>38.700000000000003</v>
      </c>
      <c r="F1051" s="5">
        <v>-80.849999999999994</v>
      </c>
      <c r="G1051" s="6"/>
      <c r="H1051" s="5">
        <v>2013</v>
      </c>
      <c r="I1051" s="6" t="s">
        <v>646</v>
      </c>
      <c r="J1051" s="6"/>
      <c r="L1051" s="5">
        <v>54</v>
      </c>
      <c r="M1051" s="5">
        <v>3.4</v>
      </c>
      <c r="P1051" s="5">
        <v>2010</v>
      </c>
      <c r="Q1051" s="5">
        <v>2010</v>
      </c>
      <c r="R1051" s="6"/>
      <c r="W1051" s="5" t="s">
        <v>44</v>
      </c>
      <c r="AJ1051" s="5" t="s">
        <v>2362</v>
      </c>
    </row>
    <row r="1052" spans="1:36" x14ac:dyDescent="0.25">
      <c r="A1052" s="5" t="s">
        <v>51</v>
      </c>
      <c r="B1052" s="5" t="s">
        <v>1536</v>
      </c>
      <c r="C1052" s="5" t="s">
        <v>1537</v>
      </c>
      <c r="D1052" s="5" t="s">
        <v>1655</v>
      </c>
      <c r="E1052" s="5">
        <v>32.854999999999997</v>
      </c>
      <c r="F1052" s="5">
        <v>-97.051000000000002</v>
      </c>
      <c r="G1052" s="6">
        <v>39703</v>
      </c>
      <c r="H1052" s="5" t="s">
        <v>38</v>
      </c>
      <c r="I1052" s="6">
        <v>39751</v>
      </c>
      <c r="J1052" s="6">
        <v>39964</v>
      </c>
      <c r="L1052" s="5">
        <v>183</v>
      </c>
      <c r="M1052" s="5">
        <v>3.3</v>
      </c>
      <c r="N1052" s="5" t="s">
        <v>808</v>
      </c>
      <c r="O1052" s="5">
        <v>8000</v>
      </c>
      <c r="P1052" s="7">
        <v>39949</v>
      </c>
      <c r="Q1052" s="5">
        <v>2009</v>
      </c>
      <c r="R1052" s="6"/>
      <c r="S1052" s="5">
        <v>500</v>
      </c>
      <c r="T1052" s="5" t="s">
        <v>116</v>
      </c>
      <c r="U1052" s="5" t="s">
        <v>1656</v>
      </c>
      <c r="V1052" s="5" t="s">
        <v>1657</v>
      </c>
      <c r="W1052" s="5" t="s">
        <v>44</v>
      </c>
      <c r="AA1052" s="5">
        <f>((11200/6.29)*1000)/(60*60*24)</f>
        <v>20.608844138255904</v>
      </c>
      <c r="AB1052" s="5" t="s">
        <v>118</v>
      </c>
      <c r="AC1052" s="5">
        <v>3100000</v>
      </c>
      <c r="AD1052" s="5" t="s">
        <v>92</v>
      </c>
      <c r="AE1052" s="5">
        <v>13.6</v>
      </c>
      <c r="AI1052" s="5" t="s">
        <v>1658</v>
      </c>
      <c r="AJ1052" s="5" t="s">
        <v>1659</v>
      </c>
    </row>
    <row r="1053" spans="1:36" x14ac:dyDescent="0.25">
      <c r="A1053" s="5" t="s">
        <v>123</v>
      </c>
      <c r="B1053" s="5" t="s">
        <v>1536</v>
      </c>
      <c r="C1053" s="5" t="s">
        <v>1537</v>
      </c>
      <c r="D1053" s="5" t="s">
        <v>2736</v>
      </c>
      <c r="E1053" s="5">
        <v>56.305802</v>
      </c>
      <c r="F1053" s="5">
        <v>-116.546843</v>
      </c>
      <c r="G1053" s="5">
        <v>2017</v>
      </c>
      <c r="I1053" s="6"/>
      <c r="J1053" s="6"/>
      <c r="K1053" s="5" t="s">
        <v>2737</v>
      </c>
      <c r="M1053" s="5">
        <v>3.2</v>
      </c>
      <c r="N1053" s="5" t="s">
        <v>65</v>
      </c>
      <c r="O1053" s="5">
        <v>6622</v>
      </c>
      <c r="P1053" s="7">
        <v>43588</v>
      </c>
      <c r="Q1053" s="5">
        <v>2019</v>
      </c>
      <c r="R1053" s="6"/>
      <c r="V1053" s="5">
        <v>2200</v>
      </c>
      <c r="W1053" s="5" t="s">
        <v>44</v>
      </c>
      <c r="AA1053" s="5">
        <v>24.7</v>
      </c>
      <c r="AB1053" s="5" t="s">
        <v>118</v>
      </c>
      <c r="AC1053" s="5">
        <v>320000</v>
      </c>
      <c r="AD1053" s="5" t="s">
        <v>92</v>
      </c>
      <c r="AI1053" s="5" t="s">
        <v>2738</v>
      </c>
      <c r="AJ1053" s="5" t="s">
        <v>2732</v>
      </c>
    </row>
    <row r="1054" spans="1:36" x14ac:dyDescent="0.25">
      <c r="A1054" s="5" t="s">
        <v>51</v>
      </c>
      <c r="B1054" s="5" t="s">
        <v>1536</v>
      </c>
      <c r="C1054" s="5" t="s">
        <v>1537</v>
      </c>
      <c r="D1054" s="5" t="s">
        <v>1660</v>
      </c>
      <c r="E1054" s="5">
        <v>40.46</v>
      </c>
      <c r="F1054" s="5">
        <v>-104.65</v>
      </c>
      <c r="G1054" s="5">
        <v>2013</v>
      </c>
      <c r="H1054" s="6"/>
      <c r="I1054" s="6">
        <v>41791</v>
      </c>
      <c r="J1054" s="6"/>
      <c r="M1054" s="5">
        <v>3.2</v>
      </c>
      <c r="P1054" s="7">
        <v>41791</v>
      </c>
      <c r="Q1054" s="5">
        <v>2014</v>
      </c>
      <c r="W1054" s="5" t="s">
        <v>44</v>
      </c>
      <c r="AA1054" s="5">
        <f>((350000/6.29)*1000)/(60*60*24*30)</f>
        <v>21.4675459773499</v>
      </c>
      <c r="AB1054" s="5" t="s">
        <v>118</v>
      </c>
      <c r="AJ1054" s="5" t="s">
        <v>1661</v>
      </c>
    </row>
    <row r="1055" spans="1:36" x14ac:dyDescent="0.25">
      <c r="A1055" s="5" t="s">
        <v>51</v>
      </c>
      <c r="B1055" s="5" t="s">
        <v>1536</v>
      </c>
      <c r="C1055" s="5" t="s">
        <v>1537</v>
      </c>
      <c r="D1055" s="5" t="s">
        <v>2363</v>
      </c>
      <c r="E1055" s="5">
        <v>39.385323999999997</v>
      </c>
      <c r="F1055" s="5">
        <v>-81.339613999999997</v>
      </c>
      <c r="G1055" s="5" t="s">
        <v>2364</v>
      </c>
      <c r="H1055" s="6"/>
      <c r="I1055" s="6">
        <v>40475</v>
      </c>
      <c r="J1055" s="6"/>
      <c r="L1055" s="5" t="s">
        <v>2365</v>
      </c>
      <c r="M1055" s="5">
        <v>3.1</v>
      </c>
      <c r="N1055" s="5" t="s">
        <v>65</v>
      </c>
      <c r="O1055" s="5">
        <v>2000</v>
      </c>
      <c r="P1055" s="7">
        <v>40786</v>
      </c>
      <c r="Q1055" s="5">
        <v>2011</v>
      </c>
      <c r="S1055" s="5">
        <v>2100</v>
      </c>
      <c r="T1055" s="5" t="s">
        <v>41</v>
      </c>
      <c r="U1055" s="5" t="s">
        <v>2366</v>
      </c>
      <c r="V1055" s="5" t="s">
        <v>2367</v>
      </c>
      <c r="W1055" s="5" t="s">
        <v>44</v>
      </c>
      <c r="AA1055" s="5">
        <f>(11766*1000)/(31*24*60*60)</f>
        <v>4.3929211469534053</v>
      </c>
      <c r="AB1055" s="5" t="s">
        <v>118</v>
      </c>
      <c r="AC1055" s="5">
        <f>116300+623076</f>
        <v>739376</v>
      </c>
      <c r="AD1055" s="5" t="s">
        <v>92</v>
      </c>
      <c r="AE1055" s="5">
        <v>13.2</v>
      </c>
      <c r="AF1055" s="8" t="s">
        <v>2368</v>
      </c>
      <c r="AJ1055" s="5" t="s">
        <v>2369</v>
      </c>
    </row>
    <row r="1056" spans="1:36" x14ac:dyDescent="0.25">
      <c r="A1056" s="5" t="s">
        <v>123</v>
      </c>
      <c r="B1056" s="5" t="s">
        <v>1536</v>
      </c>
      <c r="C1056" s="5" t="s">
        <v>1537</v>
      </c>
      <c r="D1056" s="5" t="s">
        <v>1662</v>
      </c>
      <c r="E1056" s="5">
        <v>56.330067999999997</v>
      </c>
      <c r="F1056" s="5">
        <v>-121.867153</v>
      </c>
      <c r="G1056" s="6" t="s">
        <v>1663</v>
      </c>
      <c r="H1056" s="6"/>
      <c r="I1056" s="6">
        <v>41293</v>
      </c>
      <c r="J1056" s="6">
        <v>41944</v>
      </c>
      <c r="L1056" s="5">
        <v>5</v>
      </c>
      <c r="M1056" s="5">
        <v>3.1</v>
      </c>
      <c r="N1056" s="5" t="s">
        <v>65</v>
      </c>
      <c r="P1056" s="5">
        <v>2014</v>
      </c>
      <c r="Q1056" s="5">
        <v>2014</v>
      </c>
      <c r="R1056" s="6"/>
      <c r="S1056" s="5">
        <v>3000</v>
      </c>
      <c r="W1056" s="5" t="s">
        <v>44</v>
      </c>
      <c r="AA1056" s="10">
        <f>(430*1000)/(60*60*24)</f>
        <v>4.9768518518518521</v>
      </c>
      <c r="AB1056" s="5" t="s">
        <v>118</v>
      </c>
      <c r="AC1056" s="5">
        <v>100000</v>
      </c>
      <c r="AD1056" s="5" t="s">
        <v>92</v>
      </c>
      <c r="AE1056" s="5">
        <v>11</v>
      </c>
      <c r="AI1056" s="5" t="s">
        <v>1664</v>
      </c>
      <c r="AJ1056" s="5" t="s">
        <v>435</v>
      </c>
    </row>
    <row r="1057" spans="1:36" x14ac:dyDescent="0.25">
      <c r="A1057" s="5" t="s">
        <v>51</v>
      </c>
      <c r="B1057" s="5" t="s">
        <v>1536</v>
      </c>
      <c r="C1057" s="5" t="s">
        <v>1588</v>
      </c>
      <c r="D1057" s="5" t="s">
        <v>2171</v>
      </c>
      <c r="E1057" s="5">
        <v>36.049999999999997</v>
      </c>
      <c r="F1057" s="5">
        <v>-99.7</v>
      </c>
      <c r="I1057" s="5">
        <v>2009</v>
      </c>
      <c r="J1057" s="5">
        <v>2009</v>
      </c>
      <c r="L1057" s="5">
        <v>28</v>
      </c>
      <c r="M1057" s="5">
        <v>3.1</v>
      </c>
      <c r="N1057" s="5" t="s">
        <v>2119</v>
      </c>
      <c r="Q1057" s="5">
        <v>2009</v>
      </c>
      <c r="W1057" s="5" t="s">
        <v>44</v>
      </c>
      <c r="AJ1057" s="5" t="s">
        <v>2121</v>
      </c>
    </row>
    <row r="1058" spans="1:36" x14ac:dyDescent="0.25">
      <c r="A1058" s="5" t="s">
        <v>51</v>
      </c>
      <c r="B1058" s="5" t="s">
        <v>1536</v>
      </c>
      <c r="C1058" s="5" t="s">
        <v>1527</v>
      </c>
      <c r="D1058" s="5" t="s">
        <v>1669</v>
      </c>
      <c r="E1058" s="5">
        <v>33.207422000000001</v>
      </c>
      <c r="F1058" s="5">
        <v>-92.665604000000002</v>
      </c>
      <c r="G1058" s="5">
        <v>1983</v>
      </c>
      <c r="I1058" s="5">
        <v>1983</v>
      </c>
      <c r="J1058" s="5">
        <v>1991</v>
      </c>
      <c r="M1058" s="5">
        <v>3</v>
      </c>
      <c r="N1058" s="5" t="s">
        <v>65</v>
      </c>
      <c r="P1058" s="5">
        <v>1983</v>
      </c>
      <c r="Q1058" s="5">
        <v>1983</v>
      </c>
      <c r="W1058" s="5" t="s">
        <v>44</v>
      </c>
      <c r="AF1058" s="5">
        <v>6</v>
      </c>
      <c r="AJ1058" s="5" t="s">
        <v>208</v>
      </c>
    </row>
    <row r="1059" spans="1:36" x14ac:dyDescent="0.25">
      <c r="A1059" s="5" t="s">
        <v>51</v>
      </c>
      <c r="B1059" s="5" t="s">
        <v>1536</v>
      </c>
      <c r="C1059" s="5" t="s">
        <v>1537</v>
      </c>
      <c r="D1059" s="5" t="s">
        <v>1665</v>
      </c>
      <c r="E1059" s="5">
        <v>32.488</v>
      </c>
      <c r="F1059" s="5">
        <v>-97.171000000000006</v>
      </c>
      <c r="G1059" s="6"/>
      <c r="H1059" s="6"/>
      <c r="I1059" s="6">
        <v>40132</v>
      </c>
      <c r="J1059" s="6">
        <v>40801</v>
      </c>
      <c r="L1059" s="5" t="s">
        <v>1666</v>
      </c>
      <c r="M1059" s="5">
        <v>3</v>
      </c>
      <c r="P1059" s="7">
        <v>40741</v>
      </c>
      <c r="Q1059" s="5">
        <v>2011</v>
      </c>
      <c r="R1059" s="6"/>
      <c r="S1059" s="5">
        <v>5500</v>
      </c>
      <c r="T1059" s="5" t="s">
        <v>116</v>
      </c>
      <c r="V1059" s="5" t="s">
        <v>714</v>
      </c>
      <c r="W1059" s="5" t="s">
        <v>44</v>
      </c>
      <c r="AI1059" s="5" t="s">
        <v>1667</v>
      </c>
      <c r="AJ1059" s="5" t="s">
        <v>1668</v>
      </c>
    </row>
    <row r="1060" spans="1:36" x14ac:dyDescent="0.25">
      <c r="A1060" s="5" t="s">
        <v>51</v>
      </c>
      <c r="B1060" s="5" t="s">
        <v>1536</v>
      </c>
      <c r="C1060" s="5" t="s">
        <v>1670</v>
      </c>
      <c r="D1060" s="5" t="s">
        <v>1671</v>
      </c>
      <c r="E1060" s="5">
        <v>42.414358999999997</v>
      </c>
      <c r="F1060" s="5">
        <v>-77.458275999999998</v>
      </c>
      <c r="M1060" s="5">
        <v>2.9</v>
      </c>
      <c r="N1060" s="5" t="s">
        <v>1672</v>
      </c>
      <c r="P1060" s="5">
        <v>2001</v>
      </c>
      <c r="Q1060" s="5">
        <v>2001</v>
      </c>
      <c r="W1060" s="5" t="s">
        <v>44</v>
      </c>
      <c r="AJ1060" s="5" t="s">
        <v>1673</v>
      </c>
    </row>
    <row r="1061" spans="1:36" x14ac:dyDescent="0.25">
      <c r="A1061" s="5" t="s">
        <v>51</v>
      </c>
      <c r="B1061" s="5" t="s">
        <v>1536</v>
      </c>
      <c r="C1061" s="5" t="s">
        <v>1588</v>
      </c>
      <c r="D1061" s="5" t="s">
        <v>2172</v>
      </c>
      <c r="E1061" s="5">
        <v>35.4</v>
      </c>
      <c r="F1061" s="5">
        <v>-100.24</v>
      </c>
      <c r="I1061" s="5">
        <v>2008</v>
      </c>
      <c r="J1061" s="5">
        <v>2011</v>
      </c>
      <c r="L1061" s="5">
        <v>19</v>
      </c>
      <c r="M1061" s="5">
        <v>2.8</v>
      </c>
      <c r="N1061" s="5" t="s">
        <v>2119</v>
      </c>
      <c r="Q1061" s="5">
        <v>2008</v>
      </c>
      <c r="W1061" s="5" t="s">
        <v>44</v>
      </c>
      <c r="AI1061" s="5" t="s">
        <v>2173</v>
      </c>
      <c r="AJ1061" s="5" t="s">
        <v>2121</v>
      </c>
    </row>
    <row r="1062" spans="1:36" x14ac:dyDescent="0.25">
      <c r="A1062" s="5" t="s">
        <v>51</v>
      </c>
      <c r="B1062" s="5" t="s">
        <v>1536</v>
      </c>
      <c r="C1062" s="5" t="s">
        <v>1588</v>
      </c>
      <c r="D1062" s="5" t="s">
        <v>2370</v>
      </c>
      <c r="E1062" s="5">
        <v>41.195500000000003</v>
      </c>
      <c r="F1062" s="5">
        <v>-80.775000000000006</v>
      </c>
      <c r="G1062" s="6"/>
      <c r="I1062" s="6" t="s">
        <v>1977</v>
      </c>
      <c r="J1062" s="6"/>
      <c r="L1062" s="5" t="s">
        <v>741</v>
      </c>
      <c r="M1062" s="5">
        <v>2.1</v>
      </c>
      <c r="N1062" s="5" t="s">
        <v>65</v>
      </c>
      <c r="P1062" s="5" t="s">
        <v>1977</v>
      </c>
      <c r="Q1062" s="5">
        <v>2014</v>
      </c>
      <c r="W1062" s="5" t="s">
        <v>44</v>
      </c>
      <c r="AJ1062" s="5" t="s">
        <v>2362</v>
      </c>
    </row>
    <row r="1063" spans="1:36" x14ac:dyDescent="0.25">
      <c r="A1063" s="5" t="s">
        <v>108</v>
      </c>
      <c r="B1063" s="5" t="s">
        <v>1536</v>
      </c>
      <c r="C1063" s="5" t="s">
        <v>1588</v>
      </c>
      <c r="D1063" s="5" t="s">
        <v>1674</v>
      </c>
      <c r="E1063" s="5">
        <v>40.325153</v>
      </c>
      <c r="F1063" s="5">
        <v>15.989455</v>
      </c>
      <c r="G1063" s="6">
        <v>38869</v>
      </c>
      <c r="I1063" s="6">
        <v>38870</v>
      </c>
      <c r="J1063" s="6"/>
      <c r="K1063" s="5" t="s">
        <v>2371</v>
      </c>
      <c r="L1063" s="5">
        <v>219</v>
      </c>
      <c r="M1063" s="5">
        <v>2</v>
      </c>
      <c r="N1063" s="5" t="s">
        <v>65</v>
      </c>
      <c r="P1063" s="5">
        <v>2006</v>
      </c>
      <c r="Q1063" s="5">
        <v>2006</v>
      </c>
      <c r="T1063" s="5" t="s">
        <v>116</v>
      </c>
      <c r="U1063" s="5" t="s">
        <v>1675</v>
      </c>
      <c r="V1063" s="5" t="s">
        <v>1676</v>
      </c>
      <c r="W1063" s="5" t="s">
        <v>73</v>
      </c>
      <c r="AA1063" s="5">
        <f>(3000*1000)/(60*60*24)</f>
        <v>34.722222222222221</v>
      </c>
      <c r="AB1063" s="5" t="s">
        <v>118</v>
      </c>
      <c r="AE1063" s="5">
        <v>14</v>
      </c>
      <c r="AJ1063" s="5" t="s">
        <v>2372</v>
      </c>
    </row>
    <row r="1064" spans="1:36" x14ac:dyDescent="0.25">
      <c r="A1064" s="5" t="s">
        <v>51</v>
      </c>
      <c r="B1064" s="5" t="s">
        <v>1536</v>
      </c>
      <c r="C1064" s="5" t="s">
        <v>1588</v>
      </c>
      <c r="D1064" s="5" t="s">
        <v>1677</v>
      </c>
      <c r="E1064" s="5">
        <v>28.923999999999999</v>
      </c>
      <c r="F1064" s="5">
        <v>-98.623000000000005</v>
      </c>
      <c r="G1064" s="6"/>
      <c r="I1064" s="6">
        <v>40684</v>
      </c>
      <c r="L1064" s="5">
        <v>2</v>
      </c>
      <c r="M1064" s="5">
        <v>1.82</v>
      </c>
      <c r="P1064" s="7">
        <v>40781</v>
      </c>
      <c r="Q1064" s="5">
        <v>2011</v>
      </c>
      <c r="W1064" s="5" t="s">
        <v>44</v>
      </c>
      <c r="AA1064" s="5">
        <f>(30400*1000)/(60*60*24*30)</f>
        <v>11.728395061728396</v>
      </c>
      <c r="AB1064" s="5" t="s">
        <v>118</v>
      </c>
      <c r="AJ1064" s="5" t="s">
        <v>1441</v>
      </c>
    </row>
    <row r="1065" spans="1:36" x14ac:dyDescent="0.25">
      <c r="A1065" s="5" t="s">
        <v>51</v>
      </c>
      <c r="B1065" s="5" t="s">
        <v>1536</v>
      </c>
      <c r="C1065" s="5" t="s">
        <v>1588</v>
      </c>
      <c r="D1065" s="5" t="s">
        <v>2174</v>
      </c>
      <c r="E1065" s="5">
        <v>36.85</v>
      </c>
      <c r="F1065" s="5">
        <v>-101.6</v>
      </c>
      <c r="I1065" s="5">
        <v>2008</v>
      </c>
      <c r="J1065" s="5">
        <v>2008</v>
      </c>
      <c r="L1065" s="5">
        <v>4</v>
      </c>
      <c r="M1065" s="5">
        <v>1.7</v>
      </c>
      <c r="N1065" s="5" t="s">
        <v>2119</v>
      </c>
      <c r="Q1065" s="5">
        <v>2008</v>
      </c>
      <c r="W1065" s="5" t="s">
        <v>44</v>
      </c>
      <c r="AI1065" s="5" t="s">
        <v>2175</v>
      </c>
      <c r="AJ1065" s="5" t="s">
        <v>2121</v>
      </c>
    </row>
    <row r="1066" spans="1:36" x14ac:dyDescent="0.25">
      <c r="A1066" s="5" t="s">
        <v>51</v>
      </c>
      <c r="B1066" s="5" t="s">
        <v>1536</v>
      </c>
      <c r="C1066" s="5" t="s">
        <v>1588</v>
      </c>
      <c r="D1066" s="5" t="s">
        <v>1678</v>
      </c>
      <c r="E1066" s="5">
        <v>28.606000000000002</v>
      </c>
      <c r="F1066" s="5">
        <v>-99.984999999999999</v>
      </c>
      <c r="G1066" s="5">
        <v>1996</v>
      </c>
      <c r="I1066" s="6">
        <v>40511</v>
      </c>
      <c r="M1066" s="5">
        <v>1.52</v>
      </c>
      <c r="P1066" s="7">
        <v>40511</v>
      </c>
      <c r="Q1066" s="5">
        <v>2010</v>
      </c>
      <c r="W1066" s="5" t="s">
        <v>44</v>
      </c>
      <c r="AA1066" s="5">
        <f>((100000/6.29)*1000)/(60*60*24*30)</f>
        <v>6.1335845649571139</v>
      </c>
      <c r="AB1066" s="5" t="s">
        <v>118</v>
      </c>
      <c r="AI1066" s="5" t="s">
        <v>1679</v>
      </c>
      <c r="AJ1066" s="5" t="s">
        <v>1441</v>
      </c>
    </row>
    <row r="1067" spans="1:36" x14ac:dyDescent="0.25">
      <c r="A1067" s="5" t="s">
        <v>51</v>
      </c>
      <c r="B1067" s="5" t="s">
        <v>1536</v>
      </c>
      <c r="C1067" s="5" t="s">
        <v>1588</v>
      </c>
      <c r="D1067" s="5" t="s">
        <v>1680</v>
      </c>
      <c r="E1067" s="5">
        <v>31.744</v>
      </c>
      <c r="F1067" s="5" t="s">
        <v>1681</v>
      </c>
      <c r="L1067" s="5">
        <v>6</v>
      </c>
      <c r="M1067" s="5">
        <v>1.5</v>
      </c>
      <c r="N1067" s="5" t="s">
        <v>65</v>
      </c>
      <c r="O1067" s="5">
        <v>5100</v>
      </c>
      <c r="P1067" s="7">
        <v>40513</v>
      </c>
      <c r="Q1067" s="5">
        <v>2010</v>
      </c>
      <c r="S1067" s="5">
        <v>5000</v>
      </c>
      <c r="W1067" s="5" t="s">
        <v>44</v>
      </c>
      <c r="X1067" s="5" t="s">
        <v>1682</v>
      </c>
      <c r="AA1067" s="5">
        <f>((200000/6.29)*1000)/(60*60*24*30)</f>
        <v>12.267169129914228</v>
      </c>
      <c r="AB1067" s="5" t="s">
        <v>118</v>
      </c>
      <c r="AI1067" s="5" t="s">
        <v>484</v>
      </c>
      <c r="AJ1067" s="5" t="s">
        <v>485</v>
      </c>
    </row>
    <row r="1068" spans="1:36" x14ac:dyDescent="0.25">
      <c r="A1068" s="5" t="s">
        <v>51</v>
      </c>
      <c r="B1068" s="5" t="s">
        <v>1536</v>
      </c>
      <c r="C1068" s="5" t="s">
        <v>1588</v>
      </c>
      <c r="D1068" s="5" t="s">
        <v>1683</v>
      </c>
      <c r="E1068" s="5">
        <v>46.033999999999999</v>
      </c>
      <c r="F1068" s="5" t="s">
        <v>1684</v>
      </c>
      <c r="M1068" s="5">
        <v>1.4</v>
      </c>
      <c r="P1068" s="7">
        <v>40343</v>
      </c>
      <c r="Q1068" s="5">
        <v>2010</v>
      </c>
      <c r="W1068" s="5" t="s">
        <v>44</v>
      </c>
      <c r="AA1068" s="5">
        <f>(150000*1000)/(60*60*24*30)</f>
        <v>57.870370370370374</v>
      </c>
      <c r="AB1068" s="5" t="s">
        <v>118</v>
      </c>
      <c r="AI1068" s="5" t="s">
        <v>1685</v>
      </c>
      <c r="AJ1068" s="5" t="s">
        <v>1467</v>
      </c>
    </row>
    <row r="1069" spans="1:36" x14ac:dyDescent="0.25">
      <c r="A1069" s="5" t="s">
        <v>153</v>
      </c>
      <c r="B1069" s="5" t="s">
        <v>1686</v>
      </c>
      <c r="C1069" s="5" t="s">
        <v>1686</v>
      </c>
      <c r="D1069" s="5" t="s">
        <v>1687</v>
      </c>
      <c r="E1069" s="5">
        <v>31.036601999999998</v>
      </c>
      <c r="F1069" s="5">
        <v>103.573959</v>
      </c>
      <c r="G1069" s="5" t="s">
        <v>602</v>
      </c>
      <c r="H1069" s="5" t="s">
        <v>1688</v>
      </c>
      <c r="M1069" s="5">
        <v>7.9</v>
      </c>
      <c r="N1069" s="5" t="s">
        <v>40</v>
      </c>
      <c r="O1069" s="5" t="s">
        <v>82</v>
      </c>
      <c r="P1069" s="7">
        <v>39580</v>
      </c>
      <c r="Q1069" s="5">
        <v>2008</v>
      </c>
      <c r="R1069" s="5">
        <v>20000</v>
      </c>
      <c r="V1069" s="5">
        <v>0</v>
      </c>
      <c r="W1069" s="5" t="s">
        <v>44</v>
      </c>
      <c r="X1069" s="5" t="s">
        <v>1689</v>
      </c>
      <c r="Y1069" s="5">
        <v>156</v>
      </c>
      <c r="AC1069" s="5">
        <v>1000000000</v>
      </c>
      <c r="AD1069" s="5" t="s">
        <v>92</v>
      </c>
      <c r="AG1069" s="8" t="s">
        <v>2009</v>
      </c>
      <c r="AJ1069" s="5" t="s">
        <v>2739</v>
      </c>
    </row>
    <row r="1070" spans="1:36" x14ac:dyDescent="0.25">
      <c r="A1070" s="5" t="s">
        <v>51</v>
      </c>
      <c r="B1070" s="5" t="s">
        <v>1686</v>
      </c>
      <c r="C1070" s="5" t="s">
        <v>1686</v>
      </c>
      <c r="D1070" s="5" t="s">
        <v>1690</v>
      </c>
      <c r="E1070" s="5">
        <v>44.863774999999997</v>
      </c>
      <c r="F1070" s="5">
        <v>-111.335784</v>
      </c>
      <c r="G1070" s="5">
        <v>1915</v>
      </c>
      <c r="M1070" s="5">
        <v>7.1</v>
      </c>
      <c r="N1070" s="5" t="s">
        <v>1691</v>
      </c>
      <c r="O1070" s="5">
        <v>20000</v>
      </c>
      <c r="P1070" s="7">
        <v>21779</v>
      </c>
      <c r="Q1070" s="5">
        <v>1959</v>
      </c>
      <c r="V1070" s="5">
        <v>0</v>
      </c>
      <c r="W1070" s="5" t="s">
        <v>44</v>
      </c>
      <c r="Y1070" s="5">
        <v>19</v>
      </c>
      <c r="AC1070" s="5">
        <v>994000000</v>
      </c>
      <c r="AD1070" s="5" t="s">
        <v>92</v>
      </c>
      <c r="AJ1070" s="5" t="s">
        <v>2605</v>
      </c>
    </row>
    <row r="1071" spans="1:36" x14ac:dyDescent="0.25">
      <c r="A1071" s="5" t="s">
        <v>153</v>
      </c>
      <c r="B1071" s="5" t="s">
        <v>1686</v>
      </c>
      <c r="C1071" s="5" t="s">
        <v>1686</v>
      </c>
      <c r="D1071" s="5" t="s">
        <v>2740</v>
      </c>
      <c r="E1071" s="5">
        <v>36.122318</v>
      </c>
      <c r="F1071" s="5">
        <v>100.918559</v>
      </c>
      <c r="I1071" s="5" t="s">
        <v>2741</v>
      </c>
      <c r="M1071" s="5">
        <v>7</v>
      </c>
      <c r="N1071" s="5" t="s">
        <v>1691</v>
      </c>
      <c r="O1071" s="5">
        <v>30000</v>
      </c>
      <c r="P1071" s="7">
        <v>32989</v>
      </c>
      <c r="Q1071" s="5">
        <v>1990</v>
      </c>
      <c r="T1071" s="5" t="s">
        <v>2742</v>
      </c>
      <c r="V1071" s="5">
        <v>0</v>
      </c>
      <c r="W1071" s="5" t="s">
        <v>44</v>
      </c>
      <c r="Y1071" s="5">
        <v>178</v>
      </c>
      <c r="AC1071" s="5">
        <v>24700000000</v>
      </c>
      <c r="AD1071" s="5" t="s">
        <v>92</v>
      </c>
      <c r="AJ1071" s="5" t="s">
        <v>2743</v>
      </c>
    </row>
    <row r="1072" spans="1:36" x14ac:dyDescent="0.25">
      <c r="A1072" s="5" t="s">
        <v>1692</v>
      </c>
      <c r="B1072" s="5" t="s">
        <v>1686</v>
      </c>
      <c r="C1072" s="5" t="s">
        <v>1686</v>
      </c>
      <c r="D1072" s="5" t="s">
        <v>1693</v>
      </c>
      <c r="E1072" s="5">
        <v>40.301704999999998</v>
      </c>
      <c r="F1072" s="5">
        <v>22.102180000000001</v>
      </c>
      <c r="G1072" s="5" t="s">
        <v>1168</v>
      </c>
      <c r="M1072" s="5">
        <v>6.6</v>
      </c>
      <c r="N1072" s="5" t="s">
        <v>40</v>
      </c>
      <c r="P1072" s="7">
        <v>34832</v>
      </c>
      <c r="Q1072" s="5">
        <v>1995</v>
      </c>
      <c r="R1072" s="5">
        <v>36000</v>
      </c>
      <c r="V1072" s="5">
        <v>0</v>
      </c>
      <c r="W1072" s="5" t="s">
        <v>73</v>
      </c>
      <c r="Y1072" s="5">
        <v>112</v>
      </c>
      <c r="AC1072" s="5">
        <v>1220000000</v>
      </c>
      <c r="AD1072" s="5" t="s">
        <v>92</v>
      </c>
      <c r="AI1072" s="5" t="s">
        <v>2422</v>
      </c>
      <c r="AJ1072" s="5" t="s">
        <v>2423</v>
      </c>
    </row>
    <row r="1073" spans="1:36" x14ac:dyDescent="0.25">
      <c r="A1073" s="5" t="s">
        <v>1082</v>
      </c>
      <c r="B1073" s="5" t="s">
        <v>1686</v>
      </c>
      <c r="C1073" s="5" t="s">
        <v>1686</v>
      </c>
      <c r="D1073" s="5" t="s">
        <v>1695</v>
      </c>
      <c r="E1073" s="5">
        <v>17.402142000000001</v>
      </c>
      <c r="F1073" s="5">
        <v>73.751824999999997</v>
      </c>
      <c r="G1073" s="5">
        <v>1962</v>
      </c>
      <c r="I1073" s="5">
        <v>1963</v>
      </c>
      <c r="M1073" s="5">
        <v>6.3</v>
      </c>
      <c r="N1073" s="5" t="s">
        <v>1691</v>
      </c>
      <c r="O1073" s="20">
        <v>7000</v>
      </c>
      <c r="P1073" s="21">
        <v>24816</v>
      </c>
      <c r="Q1073" s="22">
        <v>1967</v>
      </c>
      <c r="R1073" s="20"/>
      <c r="S1073" s="20"/>
      <c r="V1073" s="5">
        <v>0</v>
      </c>
      <c r="W1073" s="5" t="s">
        <v>73</v>
      </c>
      <c r="X1073" s="20"/>
      <c r="Y1073" s="5">
        <v>103</v>
      </c>
      <c r="AC1073" s="5">
        <v>2780000000</v>
      </c>
      <c r="AD1073" s="5" t="s">
        <v>92</v>
      </c>
      <c r="AJ1073" s="5" t="s">
        <v>1696</v>
      </c>
    </row>
    <row r="1074" spans="1:36" x14ac:dyDescent="0.25">
      <c r="A1074" s="5" t="s">
        <v>1697</v>
      </c>
      <c r="B1074" s="5" t="s">
        <v>1686</v>
      </c>
      <c r="C1074" s="5" t="s">
        <v>1686</v>
      </c>
      <c r="D1074" s="5" t="s">
        <v>1698</v>
      </c>
      <c r="E1074" s="5">
        <v>-16.522082999999999</v>
      </c>
      <c r="F1074" s="5">
        <v>28.761676000000001</v>
      </c>
      <c r="G1074" s="5">
        <v>1958</v>
      </c>
      <c r="I1074" s="5" t="s">
        <v>1699</v>
      </c>
      <c r="L1074" s="5" t="s">
        <v>956</v>
      </c>
      <c r="M1074" s="5">
        <v>6.2</v>
      </c>
      <c r="O1074" s="5">
        <v>10000</v>
      </c>
      <c r="P1074" s="7">
        <v>23277</v>
      </c>
      <c r="Q1074" s="5">
        <v>1963</v>
      </c>
      <c r="V1074" s="5">
        <v>0</v>
      </c>
      <c r="W1074" s="5" t="s">
        <v>44</v>
      </c>
      <c r="Y1074" s="5">
        <v>128</v>
      </c>
      <c r="Z1074" s="23">
        <v>6649</v>
      </c>
      <c r="AC1074" s="5">
        <v>152600000000</v>
      </c>
      <c r="AD1074" s="5" t="s">
        <v>92</v>
      </c>
      <c r="AJ1074" s="5" t="s">
        <v>1700</v>
      </c>
    </row>
    <row r="1075" spans="1:36" x14ac:dyDescent="0.25">
      <c r="A1075" s="5" t="s">
        <v>1692</v>
      </c>
      <c r="B1075" s="5" t="s">
        <v>1686</v>
      </c>
      <c r="C1075" s="5" t="s">
        <v>1686</v>
      </c>
      <c r="D1075" s="5" t="s">
        <v>1701</v>
      </c>
      <c r="E1075" s="5">
        <v>38.887574999999998</v>
      </c>
      <c r="F1075" s="5">
        <v>21.495905</v>
      </c>
      <c r="G1075" s="5">
        <v>1965</v>
      </c>
      <c r="M1075" s="5">
        <v>6.2</v>
      </c>
      <c r="O1075" s="14">
        <v>15000</v>
      </c>
      <c r="P1075" s="7">
        <v>24143</v>
      </c>
      <c r="Q1075" s="5">
        <v>1966</v>
      </c>
      <c r="V1075" s="5">
        <v>0</v>
      </c>
      <c r="W1075" s="5" t="s">
        <v>73</v>
      </c>
      <c r="Y1075" s="5">
        <v>160</v>
      </c>
      <c r="Z1075" s="14">
        <v>75</v>
      </c>
      <c r="AC1075" s="5">
        <v>4750000000</v>
      </c>
      <c r="AD1075" s="5" t="s">
        <v>92</v>
      </c>
      <c r="AI1075" s="5" t="s">
        <v>2176</v>
      </c>
      <c r="AJ1075" s="5" t="s">
        <v>1702</v>
      </c>
    </row>
    <row r="1076" spans="1:36" x14ac:dyDescent="0.25">
      <c r="A1076" s="5" t="s">
        <v>153</v>
      </c>
      <c r="B1076" s="5" t="s">
        <v>1686</v>
      </c>
      <c r="C1076" s="5" t="s">
        <v>1686</v>
      </c>
      <c r="D1076" s="5" t="s">
        <v>1703</v>
      </c>
      <c r="E1076" s="5">
        <v>23.727475999999999</v>
      </c>
      <c r="F1076" s="5">
        <v>114.64966800000001</v>
      </c>
      <c r="G1076" s="5">
        <v>1959</v>
      </c>
      <c r="I1076" s="5" t="s">
        <v>2744</v>
      </c>
      <c r="M1076" s="5">
        <v>6.1</v>
      </c>
      <c r="N1076" s="5" t="s">
        <v>1691</v>
      </c>
      <c r="O1076" s="5">
        <v>5000</v>
      </c>
      <c r="P1076" s="7">
        <v>22724</v>
      </c>
      <c r="Q1076" s="5">
        <v>1962</v>
      </c>
      <c r="T1076" s="5" t="s">
        <v>2742</v>
      </c>
      <c r="V1076" s="5">
        <v>0</v>
      </c>
      <c r="W1076" s="14" t="s">
        <v>44</v>
      </c>
      <c r="Y1076" s="5">
        <v>105</v>
      </c>
      <c r="AC1076" s="5">
        <v>11500000000</v>
      </c>
      <c r="AD1076" s="5" t="s">
        <v>92</v>
      </c>
      <c r="AJ1076" s="5" t="s">
        <v>2745</v>
      </c>
    </row>
    <row r="1077" spans="1:36" x14ac:dyDescent="0.25">
      <c r="A1077" s="5" t="s">
        <v>1082</v>
      </c>
      <c r="B1077" s="5" t="s">
        <v>1686</v>
      </c>
      <c r="C1077" s="5" t="s">
        <v>1686</v>
      </c>
      <c r="D1077" s="5" t="s">
        <v>1705</v>
      </c>
      <c r="E1077" s="5">
        <v>18.029</v>
      </c>
      <c r="F1077" s="5">
        <v>76.430183999999997</v>
      </c>
      <c r="G1077" s="5">
        <v>1990</v>
      </c>
      <c r="M1077" s="5">
        <v>6.1</v>
      </c>
      <c r="N1077" s="5" t="s">
        <v>40</v>
      </c>
      <c r="O1077" s="5">
        <v>2600</v>
      </c>
      <c r="P1077" s="7">
        <v>34242</v>
      </c>
      <c r="Q1077" s="5">
        <v>1993</v>
      </c>
      <c r="V1077" s="5">
        <v>0</v>
      </c>
      <c r="W1077" s="5" t="s">
        <v>73</v>
      </c>
      <c r="Y1077" s="5">
        <v>20</v>
      </c>
      <c r="AC1077" s="5">
        <v>125000000</v>
      </c>
      <c r="AD1077" s="5" t="s">
        <v>92</v>
      </c>
      <c r="AJ1077" s="5" t="s">
        <v>600</v>
      </c>
    </row>
    <row r="1078" spans="1:36" x14ac:dyDescent="0.25">
      <c r="A1078" s="5" t="s">
        <v>1706</v>
      </c>
      <c r="B1078" s="5" t="s">
        <v>1686</v>
      </c>
      <c r="C1078" s="5" t="s">
        <v>1686</v>
      </c>
      <c r="D1078" s="5" t="s">
        <v>1707</v>
      </c>
      <c r="E1078" s="5">
        <v>14.408905000000001</v>
      </c>
      <c r="F1078" s="5">
        <v>99.128191000000001</v>
      </c>
      <c r="G1078" s="5">
        <v>1977</v>
      </c>
      <c r="M1078" s="5">
        <v>5.9</v>
      </c>
      <c r="N1078" s="5" t="s">
        <v>65</v>
      </c>
      <c r="O1078" s="5">
        <v>8000</v>
      </c>
      <c r="P1078" s="5">
        <v>1983</v>
      </c>
      <c r="Q1078" s="5">
        <v>1983</v>
      </c>
      <c r="V1078" s="5">
        <v>0</v>
      </c>
      <c r="W1078" s="14" t="s">
        <v>44</v>
      </c>
      <c r="X1078" s="14"/>
      <c r="Y1078" s="5">
        <v>140</v>
      </c>
      <c r="Z1078" s="14">
        <v>419</v>
      </c>
      <c r="AC1078" s="5">
        <v>11750000000</v>
      </c>
      <c r="AD1078" s="5" t="s">
        <v>92</v>
      </c>
      <c r="AJ1078" s="5" t="s">
        <v>2746</v>
      </c>
    </row>
    <row r="1079" spans="1:36" x14ac:dyDescent="0.25">
      <c r="A1079" s="5" t="s">
        <v>51</v>
      </c>
      <c r="B1079" s="5" t="s">
        <v>1686</v>
      </c>
      <c r="C1079" s="5" t="s">
        <v>1686</v>
      </c>
      <c r="D1079" s="5" t="s">
        <v>1709</v>
      </c>
      <c r="E1079" s="5">
        <v>39.537461999999998</v>
      </c>
      <c r="F1079" s="5">
        <v>-121.483737</v>
      </c>
      <c r="G1079" s="5">
        <v>1967</v>
      </c>
      <c r="M1079" s="5">
        <v>5.8</v>
      </c>
      <c r="N1079" s="5" t="s">
        <v>65</v>
      </c>
      <c r="O1079" s="5">
        <v>8800</v>
      </c>
      <c r="P1079" s="7">
        <v>27607</v>
      </c>
      <c r="Q1079" s="5">
        <v>1975</v>
      </c>
      <c r="V1079" s="5">
        <v>0</v>
      </c>
      <c r="W1079" s="5" t="s">
        <v>90</v>
      </c>
      <c r="Y1079" s="5">
        <v>236</v>
      </c>
      <c r="Z1079" s="5">
        <v>63</v>
      </c>
      <c r="AC1079" s="5">
        <v>4400000000</v>
      </c>
      <c r="AD1079" s="5" t="s">
        <v>92</v>
      </c>
      <c r="AJ1079" s="5" t="s">
        <v>1704</v>
      </c>
    </row>
    <row r="1080" spans="1:36" x14ac:dyDescent="0.25">
      <c r="A1080" s="5" t="s">
        <v>1692</v>
      </c>
      <c r="B1080" s="5" t="s">
        <v>1686</v>
      </c>
      <c r="C1080" s="5" t="s">
        <v>1686</v>
      </c>
      <c r="D1080" s="5" t="s">
        <v>1710</v>
      </c>
      <c r="E1080" s="5">
        <v>38.167028999999999</v>
      </c>
      <c r="F1080" s="5">
        <v>23.905555</v>
      </c>
      <c r="G1080" s="5">
        <v>1929</v>
      </c>
      <c r="M1080" s="5">
        <v>5.7</v>
      </c>
      <c r="P1080" s="7">
        <v>14081</v>
      </c>
      <c r="Q1080" s="5">
        <v>1938</v>
      </c>
      <c r="V1080" s="5">
        <v>0</v>
      </c>
      <c r="W1080" s="5" t="s">
        <v>73</v>
      </c>
      <c r="Y1080" s="5">
        <v>67</v>
      </c>
      <c r="Z1080" s="5">
        <v>2.4500000000000002</v>
      </c>
      <c r="AC1080" s="5">
        <v>41000000</v>
      </c>
      <c r="AD1080" s="5" t="s">
        <v>92</v>
      </c>
      <c r="AJ1080" s="5" t="s">
        <v>1702</v>
      </c>
    </row>
    <row r="1081" spans="1:36" x14ac:dyDescent="0.25">
      <c r="A1081" s="5" t="s">
        <v>108</v>
      </c>
      <c r="B1081" s="5" t="s">
        <v>1686</v>
      </c>
      <c r="C1081" s="5" t="s">
        <v>1686</v>
      </c>
      <c r="D1081" s="5" t="s">
        <v>2051</v>
      </c>
      <c r="E1081" s="5">
        <v>42.53</v>
      </c>
      <c r="F1081" s="5">
        <v>13.38</v>
      </c>
      <c r="M1081" s="5">
        <v>5.7</v>
      </c>
      <c r="P1081" s="5">
        <v>1950</v>
      </c>
      <c r="Q1081" s="5">
        <v>1950</v>
      </c>
      <c r="V1081" s="5">
        <v>0</v>
      </c>
      <c r="W1081" s="5" t="s">
        <v>73</v>
      </c>
      <c r="Z1081" s="5">
        <v>14</v>
      </c>
      <c r="AC1081" s="5">
        <v>230000000</v>
      </c>
      <c r="AD1081" s="5" t="s">
        <v>92</v>
      </c>
      <c r="AJ1081" s="5" t="s">
        <v>2052</v>
      </c>
    </row>
    <row r="1082" spans="1:36" x14ac:dyDescent="0.25">
      <c r="A1082" s="5" t="s">
        <v>1711</v>
      </c>
      <c r="B1082" s="5" t="s">
        <v>1686</v>
      </c>
      <c r="C1082" s="5" t="s">
        <v>1686</v>
      </c>
      <c r="D1082" s="5" t="s">
        <v>1712</v>
      </c>
      <c r="E1082" s="5">
        <v>23.969055999999998</v>
      </c>
      <c r="F1082" s="5">
        <v>32.878014</v>
      </c>
      <c r="G1082" s="5">
        <v>1964</v>
      </c>
      <c r="L1082" s="5" t="s">
        <v>890</v>
      </c>
      <c r="M1082" s="5">
        <v>5.7</v>
      </c>
      <c r="N1082" s="5" t="s">
        <v>65</v>
      </c>
      <c r="O1082" s="5">
        <v>20000</v>
      </c>
      <c r="P1082" s="7">
        <v>29904</v>
      </c>
      <c r="Q1082" s="5">
        <v>1981</v>
      </c>
      <c r="R1082" s="5">
        <v>70000</v>
      </c>
      <c r="U1082" s="5" t="s">
        <v>1713</v>
      </c>
      <c r="V1082" s="5">
        <v>0</v>
      </c>
      <c r="W1082" s="5" t="s">
        <v>597</v>
      </c>
      <c r="Y1082" s="5">
        <v>111</v>
      </c>
      <c r="Z1082" s="20">
        <v>5250</v>
      </c>
      <c r="AC1082" s="5">
        <v>164000000000</v>
      </c>
      <c r="AD1082" s="5" t="s">
        <v>92</v>
      </c>
      <c r="AJ1082" s="5" t="s">
        <v>1714</v>
      </c>
    </row>
    <row r="1083" spans="1:36" x14ac:dyDescent="0.25">
      <c r="A1083" s="5" t="s">
        <v>1835</v>
      </c>
      <c r="B1083" s="5" t="s">
        <v>1686</v>
      </c>
      <c r="C1083" s="5" t="s">
        <v>1686</v>
      </c>
      <c r="D1083" s="5" t="s">
        <v>1836</v>
      </c>
      <c r="E1083" s="5">
        <v>33.144233999999997</v>
      </c>
      <c r="F1083" s="5">
        <v>73.643219000000002</v>
      </c>
      <c r="G1083" s="5" t="s">
        <v>1837</v>
      </c>
      <c r="L1083" s="5" t="s">
        <v>1838</v>
      </c>
      <c r="M1083" s="5">
        <v>5.7</v>
      </c>
      <c r="N1083" s="5" t="s">
        <v>40</v>
      </c>
      <c r="O1083" s="5">
        <v>4600</v>
      </c>
      <c r="P1083" s="7">
        <v>43732</v>
      </c>
      <c r="Q1083" s="5">
        <v>2019</v>
      </c>
      <c r="V1083" s="5">
        <v>0</v>
      </c>
      <c r="W1083" s="5" t="s">
        <v>90</v>
      </c>
      <c r="X1083" s="5" t="s">
        <v>1839</v>
      </c>
      <c r="Y1083" s="5">
        <v>135</v>
      </c>
      <c r="Z1083" s="5">
        <v>250</v>
      </c>
      <c r="AC1083" s="5">
        <v>7200000000</v>
      </c>
      <c r="AD1083" s="5" t="s">
        <v>92</v>
      </c>
      <c r="AJ1083" s="5" t="s">
        <v>2747</v>
      </c>
    </row>
    <row r="1084" spans="1:36" x14ac:dyDescent="0.25">
      <c r="A1084" s="5" t="s">
        <v>1692</v>
      </c>
      <c r="B1084" s="5" t="s">
        <v>1686</v>
      </c>
      <c r="C1084" s="5" t="s">
        <v>1686</v>
      </c>
      <c r="D1084" s="5" t="s">
        <v>1715</v>
      </c>
      <c r="E1084" s="5">
        <v>39.184938000000002</v>
      </c>
      <c r="F1084" s="5">
        <v>21.025991000000001</v>
      </c>
      <c r="G1084" s="6">
        <v>29596</v>
      </c>
      <c r="M1084" s="5">
        <v>5.6</v>
      </c>
      <c r="N1084" s="5" t="s">
        <v>65</v>
      </c>
      <c r="P1084" s="7">
        <v>29655</v>
      </c>
      <c r="Q1084" s="5">
        <v>1981</v>
      </c>
      <c r="U1084" s="24" t="s">
        <v>1716</v>
      </c>
      <c r="V1084" s="5">
        <v>0</v>
      </c>
      <c r="W1084" s="5" t="s">
        <v>73</v>
      </c>
      <c r="AJ1084" s="5" t="s">
        <v>1717</v>
      </c>
    </row>
    <row r="1085" spans="1:36" x14ac:dyDescent="0.25">
      <c r="A1085" s="5" t="s">
        <v>758</v>
      </c>
      <c r="B1085" s="5" t="s">
        <v>1686</v>
      </c>
      <c r="C1085" s="5" t="s">
        <v>1686</v>
      </c>
      <c r="D1085" s="5" t="s">
        <v>2606</v>
      </c>
      <c r="E1085" s="5">
        <v>37.482798000000003</v>
      </c>
      <c r="F1085" s="5">
        <v>38.320889000000001</v>
      </c>
      <c r="G1085" s="6" t="s">
        <v>2607</v>
      </c>
      <c r="M1085" s="5">
        <v>5.5</v>
      </c>
      <c r="N1085" s="5" t="s">
        <v>40</v>
      </c>
      <c r="O1085" s="5">
        <v>11000</v>
      </c>
      <c r="P1085" s="7">
        <v>42796</v>
      </c>
      <c r="Q1085" s="5">
        <v>2017</v>
      </c>
      <c r="U1085" s="24" t="s">
        <v>253</v>
      </c>
      <c r="V1085" s="5">
        <v>0</v>
      </c>
      <c r="W1085" s="5" t="s">
        <v>90</v>
      </c>
      <c r="Y1085" s="5">
        <v>169</v>
      </c>
      <c r="Z1085" s="5">
        <v>817</v>
      </c>
      <c r="AC1085" s="5">
        <v>48700000000</v>
      </c>
      <c r="AD1085" s="5" t="s">
        <v>92</v>
      </c>
      <c r="AJ1085" s="5" t="s">
        <v>2608</v>
      </c>
    </row>
    <row r="1086" spans="1:36" x14ac:dyDescent="0.25">
      <c r="A1086" s="5" t="s">
        <v>550</v>
      </c>
      <c r="B1086" s="5" t="s">
        <v>1686</v>
      </c>
      <c r="C1086" s="5" t="s">
        <v>1686</v>
      </c>
      <c r="D1086" s="5" t="s">
        <v>1718</v>
      </c>
      <c r="E1086" s="5">
        <v>-33.882752000000004</v>
      </c>
      <c r="F1086" s="5">
        <v>150.59516500000001</v>
      </c>
      <c r="G1086" s="5">
        <v>1960</v>
      </c>
      <c r="M1086" s="5">
        <v>5.5</v>
      </c>
      <c r="P1086" s="7">
        <v>26732</v>
      </c>
      <c r="Q1086" s="5">
        <v>1973</v>
      </c>
      <c r="V1086" s="5">
        <v>0</v>
      </c>
      <c r="W1086" s="5" t="s">
        <v>44</v>
      </c>
      <c r="Y1086" s="5">
        <v>142</v>
      </c>
      <c r="AC1086" s="5">
        <v>2031000000</v>
      </c>
      <c r="AD1086" s="5" t="s">
        <v>92</v>
      </c>
      <c r="AJ1086" s="5" t="s">
        <v>1719</v>
      </c>
    </row>
    <row r="1087" spans="1:36" x14ac:dyDescent="0.25">
      <c r="A1087" s="5" t="s">
        <v>1692</v>
      </c>
      <c r="B1087" s="5" t="s">
        <v>1686</v>
      </c>
      <c r="C1087" s="5" t="s">
        <v>1686</v>
      </c>
      <c r="D1087" s="5" t="s">
        <v>1720</v>
      </c>
      <c r="E1087" s="5">
        <v>40.498401999999999</v>
      </c>
      <c r="F1087" s="5">
        <v>22.266838</v>
      </c>
      <c r="G1087" s="6">
        <v>30965</v>
      </c>
      <c r="M1087" s="5">
        <v>5.4</v>
      </c>
      <c r="N1087" s="5" t="s">
        <v>1691</v>
      </c>
      <c r="P1087" s="7">
        <v>30980</v>
      </c>
      <c r="Q1087" s="5">
        <v>1984</v>
      </c>
      <c r="V1087" s="5">
        <v>0</v>
      </c>
      <c r="W1087" s="5" t="s">
        <v>73</v>
      </c>
      <c r="AJ1087" s="5" t="s">
        <v>1694</v>
      </c>
    </row>
    <row r="1088" spans="1:36" x14ac:dyDescent="0.25">
      <c r="A1088" s="5" t="s">
        <v>189</v>
      </c>
      <c r="B1088" s="5" t="s">
        <v>1686</v>
      </c>
      <c r="C1088" s="5" t="s">
        <v>1686</v>
      </c>
      <c r="D1088" s="5" t="s">
        <v>1727</v>
      </c>
      <c r="E1088" s="5">
        <v>44.961207000000002</v>
      </c>
      <c r="F1088" s="5">
        <v>5.6886910000000004</v>
      </c>
      <c r="G1088" s="5">
        <v>1962</v>
      </c>
      <c r="M1088" s="5">
        <v>5.3</v>
      </c>
      <c r="N1088" s="5" t="s">
        <v>65</v>
      </c>
      <c r="O1088" s="5">
        <v>5000</v>
      </c>
      <c r="P1088" s="5">
        <v>1962</v>
      </c>
      <c r="Q1088" s="5">
        <v>1962</v>
      </c>
      <c r="V1088" s="5">
        <v>0</v>
      </c>
      <c r="W1088" s="5" t="s">
        <v>44</v>
      </c>
      <c r="Y1088" s="5">
        <v>155</v>
      </c>
      <c r="Z1088" s="5">
        <v>6.57</v>
      </c>
      <c r="AC1088" s="5">
        <v>309000000</v>
      </c>
      <c r="AD1088" s="5" t="s">
        <v>92</v>
      </c>
      <c r="AJ1088" s="5" t="s">
        <v>2177</v>
      </c>
    </row>
    <row r="1089" spans="1:36" x14ac:dyDescent="0.25">
      <c r="A1089" s="5" t="s">
        <v>1721</v>
      </c>
      <c r="B1089" s="5" t="s">
        <v>1686</v>
      </c>
      <c r="C1089" s="5" t="s">
        <v>1686</v>
      </c>
      <c r="D1089" s="5" t="s">
        <v>1722</v>
      </c>
      <c r="E1089" s="5">
        <v>6.3006890000000002</v>
      </c>
      <c r="F1089" s="5">
        <v>5.8451000000000003E-2</v>
      </c>
      <c r="G1089" s="5">
        <v>1965</v>
      </c>
      <c r="M1089" s="5">
        <v>5.3</v>
      </c>
      <c r="P1089" s="7" t="s">
        <v>1723</v>
      </c>
      <c r="Q1089" s="5">
        <v>1964</v>
      </c>
      <c r="V1089" s="5">
        <v>0</v>
      </c>
      <c r="W1089" s="5" t="s">
        <v>44</v>
      </c>
      <c r="Y1089" s="5">
        <v>114</v>
      </c>
      <c r="AC1089" s="5">
        <v>148000000000</v>
      </c>
      <c r="AD1089" s="5" t="s">
        <v>92</v>
      </c>
      <c r="AJ1089" s="5" t="s">
        <v>1724</v>
      </c>
    </row>
    <row r="1090" spans="1:36" x14ac:dyDescent="0.25">
      <c r="A1090" s="5" t="s">
        <v>1082</v>
      </c>
      <c r="B1090" s="5" t="s">
        <v>1686</v>
      </c>
      <c r="C1090" s="5" t="s">
        <v>1686</v>
      </c>
      <c r="D1090" s="5" t="s">
        <v>1725</v>
      </c>
      <c r="E1090" s="5">
        <v>17.685708999999999</v>
      </c>
      <c r="F1090" s="5">
        <v>80.660670999999994</v>
      </c>
      <c r="M1090" s="5">
        <v>5.3</v>
      </c>
      <c r="P1090" s="7">
        <v>25306</v>
      </c>
      <c r="Q1090" s="5">
        <v>1969</v>
      </c>
      <c r="V1090" s="5">
        <v>0</v>
      </c>
      <c r="W1090" s="5" t="s">
        <v>73</v>
      </c>
      <c r="AJ1090" s="5" t="s">
        <v>1724</v>
      </c>
    </row>
    <row r="1091" spans="1:36" x14ac:dyDescent="0.25">
      <c r="A1091" s="5" t="s">
        <v>76</v>
      </c>
      <c r="B1091" s="5" t="s">
        <v>1686</v>
      </c>
      <c r="C1091" s="5" t="s">
        <v>1686</v>
      </c>
      <c r="D1091" s="5" t="s">
        <v>1726</v>
      </c>
      <c r="E1091" s="5">
        <v>41.626649999999998</v>
      </c>
      <c r="F1091" s="5">
        <v>69.969786999999997</v>
      </c>
      <c r="G1091" s="5">
        <v>1971</v>
      </c>
      <c r="M1091" s="5">
        <v>5.3</v>
      </c>
      <c r="N1091" s="5" t="s">
        <v>65</v>
      </c>
      <c r="O1091" s="5">
        <v>3000</v>
      </c>
      <c r="P1091" s="7">
        <v>28199</v>
      </c>
      <c r="Q1091" s="5">
        <v>1977</v>
      </c>
      <c r="V1091" s="5">
        <v>0</v>
      </c>
      <c r="W1091" s="5" t="s">
        <v>704</v>
      </c>
      <c r="Y1091" s="5">
        <v>148</v>
      </c>
      <c r="AC1091" s="5">
        <v>2000000000</v>
      </c>
      <c r="AD1091" s="5" t="s">
        <v>92</v>
      </c>
      <c r="AJ1091" s="5" t="s">
        <v>1704</v>
      </c>
    </row>
    <row r="1092" spans="1:36" x14ac:dyDescent="0.25">
      <c r="A1092" s="5" t="s">
        <v>153</v>
      </c>
      <c r="B1092" s="5" t="s">
        <v>1686</v>
      </c>
      <c r="C1092" s="5" t="s">
        <v>1686</v>
      </c>
      <c r="D1092" s="5" t="s">
        <v>2748</v>
      </c>
      <c r="E1092" s="5">
        <v>28.258555000000001</v>
      </c>
      <c r="F1092" s="5">
        <v>103.65044399999999</v>
      </c>
      <c r="M1092" s="5">
        <v>5.3</v>
      </c>
      <c r="O1092" s="5">
        <v>13000</v>
      </c>
      <c r="P1092" s="7">
        <v>41734</v>
      </c>
      <c r="Q1092" s="5">
        <v>2014</v>
      </c>
      <c r="T1092" s="5" t="s">
        <v>2749</v>
      </c>
      <c r="V1092" s="5">
        <v>0</v>
      </c>
      <c r="W1092" s="5" t="s">
        <v>44</v>
      </c>
      <c r="Y1092" s="5">
        <v>285.5</v>
      </c>
      <c r="AC1092" s="5">
        <v>12670000000</v>
      </c>
      <c r="AD1092" s="5" t="s">
        <v>92</v>
      </c>
      <c r="AJ1092" s="5" t="s">
        <v>2750</v>
      </c>
    </row>
    <row r="1093" spans="1:36" x14ac:dyDescent="0.25">
      <c r="A1093" s="5" t="s">
        <v>51</v>
      </c>
      <c r="B1093" s="5" t="s">
        <v>1686</v>
      </c>
      <c r="C1093" s="5" t="s">
        <v>1686</v>
      </c>
      <c r="D1093" s="5" t="s">
        <v>1728</v>
      </c>
      <c r="E1093" s="5">
        <v>37.165818999999999</v>
      </c>
      <c r="F1093" s="5">
        <v>-121.62904399999999</v>
      </c>
      <c r="G1093" s="5">
        <v>1950</v>
      </c>
      <c r="M1093" s="5">
        <v>5.2</v>
      </c>
      <c r="P1093" s="7">
        <v>22803</v>
      </c>
      <c r="Q1093" s="5">
        <v>1962</v>
      </c>
      <c r="V1093" s="5">
        <v>0</v>
      </c>
      <c r="W1093" s="5" t="s">
        <v>90</v>
      </c>
      <c r="Y1093" s="5">
        <v>72</v>
      </c>
      <c r="AC1093" s="5">
        <v>112590000</v>
      </c>
      <c r="AD1093" s="5" t="s">
        <v>92</v>
      </c>
      <c r="AJ1093" s="5" t="s">
        <v>1724</v>
      </c>
    </row>
    <row r="1094" spans="1:36" x14ac:dyDescent="0.25">
      <c r="A1094" s="5" t="s">
        <v>153</v>
      </c>
      <c r="B1094" s="5" t="s">
        <v>1686</v>
      </c>
      <c r="C1094" s="5" t="s">
        <v>1686</v>
      </c>
      <c r="D1094" s="5" t="s">
        <v>1729</v>
      </c>
      <c r="E1094" s="5">
        <v>41.234096999999998</v>
      </c>
      <c r="F1094" s="5">
        <v>123.512866</v>
      </c>
      <c r="G1094" s="5">
        <v>1972</v>
      </c>
      <c r="M1094" s="5">
        <v>5.2</v>
      </c>
      <c r="N1094" s="5" t="s">
        <v>65</v>
      </c>
      <c r="O1094" s="5">
        <v>5800</v>
      </c>
      <c r="P1094" s="7">
        <v>27365</v>
      </c>
      <c r="Q1094" s="5">
        <v>1974</v>
      </c>
      <c r="V1094" s="5">
        <v>0</v>
      </c>
      <c r="W1094" s="5" t="s">
        <v>44</v>
      </c>
      <c r="Y1094" s="5">
        <v>50</v>
      </c>
      <c r="AC1094" s="5">
        <v>540000000</v>
      </c>
      <c r="AD1094" s="5" t="s">
        <v>92</v>
      </c>
      <c r="AJ1094" s="5" t="s">
        <v>2751</v>
      </c>
    </row>
    <row r="1095" spans="1:36" x14ac:dyDescent="0.25">
      <c r="A1095" s="5" t="s">
        <v>1692</v>
      </c>
      <c r="B1095" s="5" t="s">
        <v>1686</v>
      </c>
      <c r="C1095" s="5" t="s">
        <v>1686</v>
      </c>
      <c r="D1095" s="5" t="s">
        <v>1730</v>
      </c>
      <c r="E1095" s="5">
        <v>40.302428999999997</v>
      </c>
      <c r="F1095" s="5">
        <v>22.100743000000001</v>
      </c>
      <c r="G1095" s="6">
        <v>31119</v>
      </c>
      <c r="M1095" s="5">
        <v>5.2</v>
      </c>
      <c r="N1095" s="5" t="s">
        <v>1691</v>
      </c>
      <c r="P1095" s="7">
        <v>31461</v>
      </c>
      <c r="Q1095" s="5">
        <v>1986</v>
      </c>
      <c r="V1095" s="5">
        <v>0</v>
      </c>
      <c r="W1095" s="5" t="s">
        <v>73</v>
      </c>
      <c r="AJ1095" s="5" t="s">
        <v>1694</v>
      </c>
    </row>
    <row r="1096" spans="1:36" x14ac:dyDescent="0.25">
      <c r="A1096" s="5" t="s">
        <v>153</v>
      </c>
      <c r="B1096" s="5" t="s">
        <v>1686</v>
      </c>
      <c r="C1096" s="5" t="s">
        <v>1686</v>
      </c>
      <c r="D1096" s="5" t="s">
        <v>2587</v>
      </c>
      <c r="E1096" s="5">
        <v>28.25985</v>
      </c>
      <c r="F1096" s="5">
        <v>103.6495</v>
      </c>
      <c r="G1096" s="6" t="s">
        <v>2588</v>
      </c>
      <c r="M1096" s="5">
        <v>5.0999999999999996</v>
      </c>
      <c r="N1096" s="5" t="s">
        <v>40</v>
      </c>
      <c r="O1096" s="5">
        <v>7000</v>
      </c>
      <c r="P1096" s="7">
        <v>41868</v>
      </c>
      <c r="Q1096" s="5">
        <v>2014</v>
      </c>
      <c r="U1096" s="5" t="s">
        <v>2589</v>
      </c>
      <c r="V1096" s="5">
        <v>0</v>
      </c>
      <c r="W1096" s="5" t="s">
        <v>44</v>
      </c>
      <c r="Y1096" s="5">
        <v>285.5</v>
      </c>
      <c r="AJ1096" s="5" t="s">
        <v>2590</v>
      </c>
    </row>
    <row r="1097" spans="1:36" x14ac:dyDescent="0.25">
      <c r="A1097" s="5" t="s">
        <v>153</v>
      </c>
      <c r="B1097" s="5" t="s">
        <v>1686</v>
      </c>
      <c r="C1097" s="5" t="s">
        <v>1686</v>
      </c>
      <c r="D1097" s="5" t="s">
        <v>1731</v>
      </c>
      <c r="E1097" s="5">
        <v>30.823098999999999</v>
      </c>
      <c r="F1097" s="5">
        <v>111.003113</v>
      </c>
      <c r="G1097" s="6">
        <v>37773</v>
      </c>
      <c r="M1097" s="5">
        <v>5.0999999999999996</v>
      </c>
      <c r="O1097" s="5">
        <v>5000</v>
      </c>
      <c r="P1097" s="7">
        <v>41624</v>
      </c>
      <c r="Q1097" s="5">
        <v>2013</v>
      </c>
      <c r="S1097" s="5">
        <v>10000</v>
      </c>
      <c r="T1097" s="5" t="s">
        <v>2752</v>
      </c>
      <c r="U1097" s="5" t="s">
        <v>1732</v>
      </c>
      <c r="V1097" s="5">
        <v>0</v>
      </c>
      <c r="W1097" s="5" t="s">
        <v>44</v>
      </c>
      <c r="Y1097" s="5">
        <v>185</v>
      </c>
      <c r="Z1097" s="5">
        <v>1045</v>
      </c>
      <c r="AC1097" s="5">
        <v>39300000000</v>
      </c>
      <c r="AD1097" s="5" t="s">
        <v>92</v>
      </c>
      <c r="AG1097" s="5" t="s">
        <v>1733</v>
      </c>
      <c r="AJ1097" s="5" t="s">
        <v>2753</v>
      </c>
    </row>
    <row r="1098" spans="1:36" x14ac:dyDescent="0.25">
      <c r="A1098" s="5" t="s">
        <v>51</v>
      </c>
      <c r="B1098" s="5" t="s">
        <v>1686</v>
      </c>
      <c r="C1098" s="5" t="s">
        <v>1686</v>
      </c>
      <c r="D1098" s="5" t="s">
        <v>1741</v>
      </c>
      <c r="E1098" s="5">
        <v>36.016196000000001</v>
      </c>
      <c r="F1098" s="5">
        <v>-114.737264</v>
      </c>
      <c r="G1098" s="5">
        <v>1935</v>
      </c>
      <c r="M1098" s="5">
        <v>5</v>
      </c>
      <c r="N1098" s="5" t="s">
        <v>65</v>
      </c>
      <c r="O1098" s="5">
        <v>4000</v>
      </c>
      <c r="P1098" s="5">
        <v>1939</v>
      </c>
      <c r="Q1098" s="5">
        <v>1939</v>
      </c>
      <c r="V1098" s="5">
        <v>0</v>
      </c>
      <c r="W1098" s="5" t="s">
        <v>44</v>
      </c>
      <c r="Y1098" s="5">
        <v>221</v>
      </c>
      <c r="AC1098" s="5">
        <v>36703000000</v>
      </c>
      <c r="AD1098" s="5" t="s">
        <v>92</v>
      </c>
      <c r="AJ1098" s="5" t="s">
        <v>1708</v>
      </c>
    </row>
    <row r="1099" spans="1:36" x14ac:dyDescent="0.25">
      <c r="A1099" s="5" t="s">
        <v>550</v>
      </c>
      <c r="B1099" s="5" t="s">
        <v>1686</v>
      </c>
      <c r="C1099" s="5" t="s">
        <v>1686</v>
      </c>
      <c r="D1099" s="5" t="s">
        <v>1736</v>
      </c>
      <c r="E1099" s="5">
        <v>-36.128545000000003</v>
      </c>
      <c r="F1099" s="5">
        <v>148.615892</v>
      </c>
      <c r="G1099" s="5">
        <v>1957</v>
      </c>
      <c r="M1099" s="5">
        <v>5</v>
      </c>
      <c r="O1099" s="6"/>
      <c r="P1099" s="7">
        <v>21688</v>
      </c>
      <c r="Q1099" s="5">
        <v>1959</v>
      </c>
      <c r="V1099" s="5">
        <v>0</v>
      </c>
      <c r="W1099" s="5" t="s">
        <v>44</v>
      </c>
      <c r="Y1099" s="5">
        <v>116</v>
      </c>
      <c r="Z1099" s="5">
        <v>145</v>
      </c>
      <c r="AC1099" s="5">
        <v>4761000000</v>
      </c>
      <c r="AD1099" s="5" t="s">
        <v>92</v>
      </c>
      <c r="AJ1099" s="5" t="s">
        <v>1702</v>
      </c>
    </row>
    <row r="1100" spans="1:36" x14ac:dyDescent="0.25">
      <c r="A1100" s="5" t="s">
        <v>570</v>
      </c>
      <c r="B1100" s="5" t="s">
        <v>1686</v>
      </c>
      <c r="C1100" s="5" t="s">
        <v>1686</v>
      </c>
      <c r="D1100" s="5" t="s">
        <v>1737</v>
      </c>
      <c r="E1100" s="5">
        <v>-44.564168000000002</v>
      </c>
      <c r="F1100" s="5">
        <v>170.19752</v>
      </c>
      <c r="G1100" s="5">
        <v>1964</v>
      </c>
      <c r="M1100" s="5">
        <v>5</v>
      </c>
      <c r="N1100" s="5" t="s">
        <v>65</v>
      </c>
      <c r="O1100" s="5">
        <v>1200</v>
      </c>
      <c r="P1100" s="7">
        <v>24295</v>
      </c>
      <c r="Q1100" s="5">
        <v>1966</v>
      </c>
      <c r="V1100" s="5">
        <v>0</v>
      </c>
      <c r="W1100" s="5" t="s">
        <v>90</v>
      </c>
      <c r="Y1100" s="5">
        <v>110</v>
      </c>
      <c r="AC1100" s="5">
        <v>2040000000</v>
      </c>
      <c r="AD1100" s="5" t="s">
        <v>92</v>
      </c>
      <c r="AJ1100" s="5" t="s">
        <v>1704</v>
      </c>
    </row>
    <row r="1101" spans="1:36" x14ac:dyDescent="0.25">
      <c r="A1101" s="5" t="s">
        <v>1082</v>
      </c>
      <c r="B1101" s="5" t="s">
        <v>1686</v>
      </c>
      <c r="C1101" s="5" t="s">
        <v>1686</v>
      </c>
      <c r="D1101" s="5" t="s">
        <v>1738</v>
      </c>
      <c r="E1101" s="5">
        <v>17.136994999999999</v>
      </c>
      <c r="F1101" s="5">
        <v>73.862145999999996</v>
      </c>
      <c r="G1101" s="5">
        <v>1987</v>
      </c>
      <c r="M1101" s="5">
        <v>5</v>
      </c>
      <c r="P1101" s="5">
        <v>1993</v>
      </c>
      <c r="Q1101" s="5">
        <v>1993</v>
      </c>
      <c r="V1101" s="5">
        <v>0</v>
      </c>
      <c r="W1101" s="5" t="s">
        <v>73</v>
      </c>
      <c r="Y1101" s="5">
        <v>80</v>
      </c>
      <c r="AC1101" s="5">
        <v>1260000000</v>
      </c>
      <c r="AD1101" s="5" t="s">
        <v>92</v>
      </c>
      <c r="AJ1101" s="5" t="s">
        <v>1714</v>
      </c>
    </row>
    <row r="1102" spans="1:36" x14ac:dyDescent="0.25">
      <c r="A1102" s="5" t="s">
        <v>550</v>
      </c>
      <c r="B1102" s="5" t="s">
        <v>1686</v>
      </c>
      <c r="C1102" s="5" t="s">
        <v>1686</v>
      </c>
      <c r="D1102" s="5" t="s">
        <v>1734</v>
      </c>
      <c r="E1102" s="5">
        <v>-37.840753999999997</v>
      </c>
      <c r="F1102" s="5">
        <v>146.40112199999999</v>
      </c>
      <c r="G1102" s="5">
        <v>1983</v>
      </c>
      <c r="M1102" s="5">
        <v>5</v>
      </c>
      <c r="N1102" s="5" t="s">
        <v>65</v>
      </c>
      <c r="O1102" s="5">
        <v>12000</v>
      </c>
      <c r="P1102" s="5">
        <v>1996</v>
      </c>
      <c r="Q1102" s="5">
        <v>1996</v>
      </c>
      <c r="V1102" s="5">
        <v>0</v>
      </c>
      <c r="W1102" s="5" t="s">
        <v>44</v>
      </c>
      <c r="Y1102" s="5">
        <v>165</v>
      </c>
      <c r="AC1102" s="5">
        <v>1100000000</v>
      </c>
      <c r="AD1102" s="5" t="s">
        <v>92</v>
      </c>
      <c r="AJ1102" s="5" t="s">
        <v>1735</v>
      </c>
    </row>
    <row r="1103" spans="1:36" x14ac:dyDescent="0.25">
      <c r="A1103" s="5" t="s">
        <v>153</v>
      </c>
      <c r="B1103" s="5" t="s">
        <v>1686</v>
      </c>
      <c r="C1103" s="5" t="s">
        <v>1686</v>
      </c>
      <c r="D1103" s="5" t="s">
        <v>2754</v>
      </c>
      <c r="I1103" s="6">
        <v>40394</v>
      </c>
      <c r="M1103" s="5">
        <v>5</v>
      </c>
      <c r="N1103" s="5" t="s">
        <v>65</v>
      </c>
      <c r="P1103" s="7">
        <v>41521</v>
      </c>
      <c r="Q1103" s="5">
        <v>2013</v>
      </c>
      <c r="T1103" s="5" t="s">
        <v>2755</v>
      </c>
      <c r="V1103" s="5">
        <v>0</v>
      </c>
      <c r="W1103" s="5" t="s">
        <v>44</v>
      </c>
      <c r="Y1103" s="5">
        <v>96.5</v>
      </c>
      <c r="AC1103" s="5">
        <v>105600000</v>
      </c>
      <c r="AD1103" s="5" t="s">
        <v>92</v>
      </c>
      <c r="AJ1103" s="5" t="s">
        <v>2756</v>
      </c>
    </row>
    <row r="1104" spans="1:36" x14ac:dyDescent="0.25">
      <c r="A1104" s="5" t="s">
        <v>153</v>
      </c>
      <c r="B1104" s="5" t="s">
        <v>1686</v>
      </c>
      <c r="C1104" s="5" t="s">
        <v>1686</v>
      </c>
      <c r="D1104" s="5" t="s">
        <v>2757</v>
      </c>
      <c r="E1104" s="5">
        <v>29.275462000000001</v>
      </c>
      <c r="F1104" s="5">
        <v>107.88938400000001</v>
      </c>
      <c r="I1104" s="6" t="s">
        <v>2758</v>
      </c>
      <c r="M1104" s="5">
        <v>5</v>
      </c>
      <c r="O1104" s="5">
        <v>9400</v>
      </c>
      <c r="P1104" s="7">
        <v>43062</v>
      </c>
      <c r="Q1104" s="5">
        <v>2017</v>
      </c>
      <c r="V1104" s="5">
        <v>0</v>
      </c>
      <c r="W1104" s="5" t="s">
        <v>44</v>
      </c>
      <c r="AC1104" s="5">
        <f>0.32*10^9</f>
        <v>320000000</v>
      </c>
      <c r="AD1104" s="5" t="s">
        <v>92</v>
      </c>
      <c r="AJ1104" s="5" t="s">
        <v>2759</v>
      </c>
    </row>
    <row r="1105" spans="1:36" x14ac:dyDescent="0.25">
      <c r="A1105" s="5" t="s">
        <v>678</v>
      </c>
      <c r="B1105" s="5" t="s">
        <v>1686</v>
      </c>
      <c r="C1105" s="5" t="s">
        <v>1686</v>
      </c>
      <c r="D1105" s="5" t="s">
        <v>1748</v>
      </c>
      <c r="E1105" s="5">
        <v>36.566499</v>
      </c>
      <c r="F1105" s="5">
        <v>137.662128</v>
      </c>
      <c r="G1105" s="5">
        <v>1960</v>
      </c>
      <c r="M1105" s="5">
        <v>4.9000000000000004</v>
      </c>
      <c r="N1105" s="5" t="s">
        <v>1691</v>
      </c>
      <c r="O1105" s="5">
        <v>100</v>
      </c>
      <c r="P1105" s="7">
        <v>22512</v>
      </c>
      <c r="Q1105" s="5">
        <v>1961</v>
      </c>
      <c r="V1105" s="5">
        <v>0</v>
      </c>
      <c r="W1105" s="5" t="s">
        <v>73</v>
      </c>
      <c r="Y1105" s="5">
        <v>186</v>
      </c>
      <c r="Z1105" s="14">
        <v>3.5</v>
      </c>
      <c r="AC1105" s="5">
        <v>149000000</v>
      </c>
      <c r="AD1105" s="5" t="s">
        <v>92</v>
      </c>
      <c r="AJ1105" s="5" t="s">
        <v>1704</v>
      </c>
    </row>
    <row r="1106" spans="1:36" x14ac:dyDescent="0.25">
      <c r="A1106" s="5" t="s">
        <v>1749</v>
      </c>
      <c r="B1106" s="5" t="s">
        <v>1686</v>
      </c>
      <c r="C1106" s="5" t="s">
        <v>1686</v>
      </c>
      <c r="D1106" s="5" t="s">
        <v>1750</v>
      </c>
      <c r="E1106" s="5">
        <v>43.964711000000001</v>
      </c>
      <c r="F1106" s="5">
        <v>19.409901999999999</v>
      </c>
      <c r="G1106" s="5">
        <v>1966</v>
      </c>
      <c r="M1106" s="5">
        <v>4.9000000000000004</v>
      </c>
      <c r="N1106" s="5" t="s">
        <v>65</v>
      </c>
      <c r="O1106" s="5">
        <v>5000</v>
      </c>
      <c r="P1106" s="7">
        <v>24656</v>
      </c>
      <c r="Q1106" s="5">
        <v>1967</v>
      </c>
      <c r="V1106" s="5">
        <v>0</v>
      </c>
      <c r="W1106" s="5" t="s">
        <v>103</v>
      </c>
      <c r="Y1106" s="5">
        <v>90</v>
      </c>
      <c r="AC1106" s="5">
        <v>340000000</v>
      </c>
      <c r="AD1106" s="5" t="s">
        <v>92</v>
      </c>
      <c r="AJ1106" s="5" t="s">
        <v>1704</v>
      </c>
    </row>
    <row r="1107" spans="1:36" x14ac:dyDescent="0.25">
      <c r="A1107" s="5" t="s">
        <v>51</v>
      </c>
      <c r="B1107" s="5" t="s">
        <v>1686</v>
      </c>
      <c r="C1107" s="5" t="s">
        <v>1686</v>
      </c>
      <c r="D1107" s="5" t="s">
        <v>1747</v>
      </c>
      <c r="E1107" s="5">
        <v>47.677346999999997</v>
      </c>
      <c r="F1107" s="5">
        <v>-114.233981</v>
      </c>
      <c r="G1107" s="5">
        <v>1958</v>
      </c>
      <c r="M1107" s="5">
        <v>4.9000000000000004</v>
      </c>
      <c r="P1107" s="7">
        <v>26142</v>
      </c>
      <c r="Q1107" s="5">
        <v>1971</v>
      </c>
      <c r="V1107" s="5">
        <v>0</v>
      </c>
      <c r="W1107" s="5" t="s">
        <v>44</v>
      </c>
      <c r="Y1107" s="5">
        <v>60</v>
      </c>
      <c r="AC1107" s="5">
        <v>1505000000</v>
      </c>
      <c r="AD1107" s="5" t="s">
        <v>92</v>
      </c>
      <c r="AJ1107" s="5" t="s">
        <v>1702</v>
      </c>
    </row>
    <row r="1108" spans="1:36" x14ac:dyDescent="0.25">
      <c r="A1108" s="5" t="s">
        <v>1082</v>
      </c>
      <c r="B1108" s="5" t="s">
        <v>1686</v>
      </c>
      <c r="C1108" s="5" t="s">
        <v>1686</v>
      </c>
      <c r="D1108" s="5" t="s">
        <v>1742</v>
      </c>
      <c r="E1108" s="5">
        <v>19.513217999999998</v>
      </c>
      <c r="F1108" s="5">
        <v>73.417730000000006</v>
      </c>
      <c r="G1108" s="5">
        <v>1977</v>
      </c>
      <c r="I1108" s="5" t="s">
        <v>1743</v>
      </c>
      <c r="J1108" s="5" t="s">
        <v>1744</v>
      </c>
      <c r="K1108" s="5" t="s">
        <v>1745</v>
      </c>
      <c r="L1108" s="5">
        <v>15388</v>
      </c>
      <c r="M1108" s="5">
        <v>4.9000000000000004</v>
      </c>
      <c r="N1108" s="5" t="s">
        <v>65</v>
      </c>
      <c r="O1108" s="5">
        <v>5000</v>
      </c>
      <c r="P1108" s="7">
        <v>30574</v>
      </c>
      <c r="Q1108" s="5">
        <v>1983</v>
      </c>
      <c r="U1108" s="5" t="s">
        <v>181</v>
      </c>
      <c r="V1108" s="5">
        <v>0</v>
      </c>
      <c r="W1108" s="5" t="s">
        <v>73</v>
      </c>
      <c r="Y1108" s="5">
        <v>88.5</v>
      </c>
      <c r="AC1108" s="5">
        <v>947000000</v>
      </c>
      <c r="AD1108" s="5" t="s">
        <v>92</v>
      </c>
      <c r="AJ1108" s="5" t="s">
        <v>1746</v>
      </c>
    </row>
    <row r="1109" spans="1:36" x14ac:dyDescent="0.25">
      <c r="A1109" s="5" t="s">
        <v>1751</v>
      </c>
      <c r="B1109" s="5" t="s">
        <v>1686</v>
      </c>
      <c r="C1109" s="5" t="s">
        <v>1686</v>
      </c>
      <c r="D1109" s="5" t="s">
        <v>1752</v>
      </c>
      <c r="E1109" s="5">
        <v>20.806778000000001</v>
      </c>
      <c r="F1109" s="5">
        <v>105.325654</v>
      </c>
      <c r="G1109" s="5">
        <v>1988</v>
      </c>
      <c r="M1109" s="5">
        <v>4.9000000000000004</v>
      </c>
      <c r="P1109" s="5">
        <v>1989</v>
      </c>
      <c r="Q1109" s="5">
        <v>1989</v>
      </c>
      <c r="V1109" s="5">
        <v>0</v>
      </c>
      <c r="W1109" s="5" t="s">
        <v>44</v>
      </c>
      <c r="Y1109" s="5">
        <v>125</v>
      </c>
      <c r="AJ1109" s="5" t="s">
        <v>1714</v>
      </c>
    </row>
    <row r="1110" spans="1:36" x14ac:dyDescent="0.25">
      <c r="A1110" s="5" t="s">
        <v>2257</v>
      </c>
      <c r="B1110" s="5" t="s">
        <v>1686</v>
      </c>
      <c r="C1110" s="5" t="s">
        <v>1686</v>
      </c>
      <c r="D1110" s="5" t="s">
        <v>2258</v>
      </c>
      <c r="E1110" s="5">
        <v>9.6429559999999999</v>
      </c>
      <c r="F1110" s="5">
        <v>-84.102295999999996</v>
      </c>
      <c r="G1110" s="6">
        <v>40611</v>
      </c>
      <c r="M1110" s="5">
        <v>4.8</v>
      </c>
      <c r="N1110" s="5" t="s">
        <v>40</v>
      </c>
      <c r="O1110" s="5">
        <v>14000</v>
      </c>
      <c r="P1110" s="24" t="s">
        <v>1977</v>
      </c>
      <c r="Q1110" s="5">
        <v>2014</v>
      </c>
      <c r="R1110" s="5">
        <v>8400</v>
      </c>
      <c r="U1110" s="5" t="s">
        <v>2259</v>
      </c>
      <c r="V1110" s="5">
        <v>0</v>
      </c>
      <c r="W1110" s="5" t="s">
        <v>73</v>
      </c>
      <c r="Y1110" s="5">
        <v>113</v>
      </c>
      <c r="Z1110" s="5">
        <v>1.1399999999999999</v>
      </c>
      <c r="AC1110" s="5">
        <v>36000000</v>
      </c>
      <c r="AD1110" s="5" t="s">
        <v>92</v>
      </c>
      <c r="AJ1110" s="5" t="s">
        <v>2260</v>
      </c>
    </row>
    <row r="1111" spans="1:36" x14ac:dyDescent="0.25">
      <c r="A1111" s="5" t="s">
        <v>149</v>
      </c>
      <c r="B1111" s="5" t="s">
        <v>1686</v>
      </c>
      <c r="C1111" s="5" t="s">
        <v>1686</v>
      </c>
      <c r="D1111" s="5" t="s">
        <v>1753</v>
      </c>
      <c r="E1111" s="5">
        <v>52.243375999999998</v>
      </c>
      <c r="F1111" s="5">
        <v>104.330113</v>
      </c>
      <c r="M1111" s="5">
        <v>4.8</v>
      </c>
      <c r="V1111" s="5">
        <v>0</v>
      </c>
      <c r="W1111" s="5" t="s">
        <v>44</v>
      </c>
      <c r="AJ1111" s="5" t="s">
        <v>1714</v>
      </c>
    </row>
    <row r="1112" spans="1:36" x14ac:dyDescent="0.25">
      <c r="A1112" s="5" t="s">
        <v>153</v>
      </c>
      <c r="B1112" s="5" t="s">
        <v>1686</v>
      </c>
      <c r="C1112" s="5" t="s">
        <v>1686</v>
      </c>
      <c r="D1112" s="5" t="s">
        <v>1784</v>
      </c>
      <c r="E1112" s="5">
        <v>25.526610000000002</v>
      </c>
      <c r="F1112" s="5">
        <v>105.765367</v>
      </c>
      <c r="G1112" s="5">
        <v>1986</v>
      </c>
      <c r="I1112" s="5" t="s">
        <v>1785</v>
      </c>
      <c r="M1112" s="5">
        <v>4.8</v>
      </c>
      <c r="N1112" s="5" t="s">
        <v>65</v>
      </c>
      <c r="P1112" s="7">
        <v>40455</v>
      </c>
      <c r="Q1112" s="5">
        <v>2010</v>
      </c>
      <c r="T1112" s="5" t="s">
        <v>2760</v>
      </c>
      <c r="U1112" s="5" t="s">
        <v>1786</v>
      </c>
      <c r="V1112" s="5">
        <v>0</v>
      </c>
      <c r="W1112" s="5" t="s">
        <v>44</v>
      </c>
      <c r="Y1112" s="5">
        <v>150</v>
      </c>
      <c r="AC1112" s="5">
        <v>955000000</v>
      </c>
      <c r="AD1112" s="5" t="s">
        <v>92</v>
      </c>
      <c r="AJ1112" s="5" t="s">
        <v>2761</v>
      </c>
    </row>
    <row r="1113" spans="1:36" x14ac:dyDescent="0.25">
      <c r="A1113" s="5" t="s">
        <v>153</v>
      </c>
      <c r="B1113" s="5" t="s">
        <v>1686</v>
      </c>
      <c r="C1113" s="5" t="s">
        <v>1686</v>
      </c>
      <c r="D1113" s="5" t="s">
        <v>1797</v>
      </c>
      <c r="E1113" s="5">
        <v>25.027446999999999</v>
      </c>
      <c r="F1113" s="5">
        <v>107.04284</v>
      </c>
      <c r="G1113" s="6">
        <v>38991</v>
      </c>
      <c r="I1113" s="6">
        <v>38992</v>
      </c>
      <c r="L1113" s="5" t="s">
        <v>2376</v>
      </c>
      <c r="M1113" s="5">
        <v>4.8</v>
      </c>
      <c r="N1113" s="5" t="s">
        <v>65</v>
      </c>
      <c r="P1113" s="7">
        <v>40439</v>
      </c>
      <c r="Q1113" s="5">
        <v>2010</v>
      </c>
      <c r="T1113" s="5" t="s">
        <v>2762</v>
      </c>
      <c r="U1113" s="5" t="s">
        <v>1798</v>
      </c>
      <c r="V1113" s="5">
        <v>0</v>
      </c>
      <c r="W1113" s="5" t="s">
        <v>103</v>
      </c>
      <c r="Y1113" s="5">
        <v>220</v>
      </c>
      <c r="AC1113" s="5">
        <v>27300000000</v>
      </c>
      <c r="AD1113" s="5" t="s">
        <v>92</v>
      </c>
      <c r="AJ1113" s="5" t="s">
        <v>2763</v>
      </c>
    </row>
    <row r="1114" spans="1:36" x14ac:dyDescent="0.25">
      <c r="A1114" s="5" t="s">
        <v>172</v>
      </c>
      <c r="B1114" s="5" t="s">
        <v>1686</v>
      </c>
      <c r="C1114" s="5" t="s">
        <v>1686</v>
      </c>
      <c r="D1114" s="5" t="s">
        <v>1756</v>
      </c>
      <c r="E1114" s="5">
        <v>41.978737000000002</v>
      </c>
      <c r="F1114" s="5">
        <v>0.61221099999999995</v>
      </c>
      <c r="G1114" s="5">
        <v>1960</v>
      </c>
      <c r="M1114" s="5">
        <v>4.7</v>
      </c>
      <c r="P1114" s="7">
        <v>22806</v>
      </c>
      <c r="Q1114" s="5">
        <v>1962</v>
      </c>
      <c r="V1114" s="5">
        <v>0</v>
      </c>
      <c r="W1114" s="5" t="s">
        <v>44</v>
      </c>
      <c r="Y1114" s="5">
        <v>150</v>
      </c>
      <c r="AC1114" s="5">
        <v>678000000</v>
      </c>
      <c r="AD1114" s="5" t="s">
        <v>92</v>
      </c>
      <c r="AJ1114" s="5" t="s">
        <v>1702</v>
      </c>
    </row>
    <row r="1115" spans="1:36" x14ac:dyDescent="0.25">
      <c r="A1115" s="5" t="s">
        <v>1754</v>
      </c>
      <c r="B1115" s="5" t="s">
        <v>1686</v>
      </c>
      <c r="C1115" s="5" t="s">
        <v>1686</v>
      </c>
      <c r="D1115" s="5" t="s">
        <v>1755</v>
      </c>
      <c r="E1115" s="5">
        <v>36.758710999999998</v>
      </c>
      <c r="F1115" s="5">
        <v>49.38805</v>
      </c>
      <c r="G1115" s="5">
        <v>1962</v>
      </c>
      <c r="M1115" s="5">
        <v>4.7</v>
      </c>
      <c r="P1115" s="7">
        <v>25052</v>
      </c>
      <c r="Q1115" s="5">
        <v>1968</v>
      </c>
      <c r="V1115" s="5">
        <v>0</v>
      </c>
      <c r="W1115" s="5" t="s">
        <v>73</v>
      </c>
      <c r="Y1115" s="5">
        <v>106</v>
      </c>
      <c r="AC1115" s="5">
        <v>1820000000</v>
      </c>
      <c r="AD1115" s="5" t="s">
        <v>92</v>
      </c>
      <c r="AJ1115" s="5" t="s">
        <v>1724</v>
      </c>
    </row>
    <row r="1116" spans="1:36" x14ac:dyDescent="0.25">
      <c r="A1116" s="5" t="s">
        <v>153</v>
      </c>
      <c r="B1116" s="5" t="s">
        <v>1686</v>
      </c>
      <c r="C1116" s="5" t="s">
        <v>1686</v>
      </c>
      <c r="D1116" s="5" t="s">
        <v>1757</v>
      </c>
      <c r="E1116" s="5">
        <v>32.556558000000003</v>
      </c>
      <c r="F1116" s="5">
        <v>111.48882</v>
      </c>
      <c r="G1116" s="5">
        <v>1967</v>
      </c>
      <c r="I1116" s="5" t="s">
        <v>1300</v>
      </c>
      <c r="M1116" s="5">
        <v>4.7</v>
      </c>
      <c r="N1116" s="5" t="s">
        <v>65</v>
      </c>
      <c r="O1116" s="5">
        <v>7000</v>
      </c>
      <c r="P1116" s="7">
        <v>26997</v>
      </c>
      <c r="Q1116" s="5">
        <v>1973</v>
      </c>
      <c r="T1116" s="5" t="s">
        <v>2764</v>
      </c>
      <c r="V1116" s="5">
        <v>0</v>
      </c>
      <c r="W1116" s="14" t="s">
        <v>44</v>
      </c>
      <c r="Y1116" s="5">
        <v>97</v>
      </c>
      <c r="AC1116" s="5">
        <v>20900000000</v>
      </c>
      <c r="AD1116" s="5" t="s">
        <v>92</v>
      </c>
      <c r="AJ1116" s="5" t="s">
        <v>2765</v>
      </c>
    </row>
    <row r="1117" spans="1:36" x14ac:dyDescent="0.25">
      <c r="A1117" s="5" t="s">
        <v>123</v>
      </c>
      <c r="B1117" s="5" t="s">
        <v>1686</v>
      </c>
      <c r="C1117" s="5" t="s">
        <v>1686</v>
      </c>
      <c r="D1117" s="5" t="s">
        <v>1758</v>
      </c>
      <c r="E1117" s="5">
        <v>52.077916999999999</v>
      </c>
      <c r="F1117" s="5">
        <v>-118.565963</v>
      </c>
      <c r="G1117" s="5">
        <v>1973</v>
      </c>
      <c r="M1117" s="5">
        <v>4.7</v>
      </c>
      <c r="N1117" s="5" t="s">
        <v>65</v>
      </c>
      <c r="O1117" s="5">
        <v>11800</v>
      </c>
      <c r="P1117" s="5">
        <v>1973</v>
      </c>
      <c r="Q1117" s="5">
        <v>1973</v>
      </c>
      <c r="V1117" s="5">
        <v>0</v>
      </c>
      <c r="W1117" s="5" t="s">
        <v>44</v>
      </c>
      <c r="Y1117" s="5">
        <v>191</v>
      </c>
      <c r="AC1117" s="5">
        <v>25000000000</v>
      </c>
      <c r="AD1117" s="5" t="s">
        <v>92</v>
      </c>
      <c r="AJ1117" s="5" t="s">
        <v>600</v>
      </c>
    </row>
    <row r="1118" spans="1:36" x14ac:dyDescent="0.25">
      <c r="A1118" s="5" t="s">
        <v>51</v>
      </c>
      <c r="B1118" s="5" t="s">
        <v>1686</v>
      </c>
      <c r="C1118" s="5" t="s">
        <v>1686</v>
      </c>
      <c r="D1118" s="5" t="s">
        <v>1759</v>
      </c>
      <c r="E1118" s="5">
        <v>43.359794999999998</v>
      </c>
      <c r="F1118" s="5">
        <v>-115.449507</v>
      </c>
      <c r="G1118" s="5">
        <v>1950</v>
      </c>
      <c r="M1118" s="5">
        <v>4.7</v>
      </c>
      <c r="N1118" s="5" t="s">
        <v>65</v>
      </c>
      <c r="O1118" s="5">
        <v>4800</v>
      </c>
      <c r="P1118" s="5">
        <v>1973</v>
      </c>
      <c r="Q1118" s="5">
        <v>1973</v>
      </c>
      <c r="V1118" s="5">
        <v>0</v>
      </c>
      <c r="W1118" s="5" t="s">
        <v>44</v>
      </c>
      <c r="Y1118" s="5">
        <v>72</v>
      </c>
      <c r="AC1118" s="5">
        <v>111000000</v>
      </c>
      <c r="AD1118" s="5" t="s">
        <v>92</v>
      </c>
      <c r="AJ1118" s="5" t="s">
        <v>600</v>
      </c>
    </row>
    <row r="1119" spans="1:36" x14ac:dyDescent="0.25">
      <c r="A1119" s="5" t="s">
        <v>1751</v>
      </c>
      <c r="B1119" s="5" t="s">
        <v>1686</v>
      </c>
      <c r="C1119" s="5" t="s">
        <v>1686</v>
      </c>
      <c r="D1119" s="5" t="s">
        <v>1763</v>
      </c>
      <c r="E1119" s="5">
        <v>15.331268</v>
      </c>
      <c r="F1119" s="5">
        <v>108.147744</v>
      </c>
      <c r="G1119" s="5" t="s">
        <v>1764</v>
      </c>
      <c r="I1119" s="5" t="s">
        <v>1765</v>
      </c>
      <c r="M1119" s="5">
        <v>4.7</v>
      </c>
      <c r="P1119" s="7">
        <v>41228</v>
      </c>
      <c r="Q1119" s="5">
        <v>2012</v>
      </c>
      <c r="V1119" s="5">
        <v>0</v>
      </c>
      <c r="W1119" s="5" t="s">
        <v>44</v>
      </c>
      <c r="AC1119" s="5">
        <v>740000000</v>
      </c>
      <c r="AD1119" s="5" t="s">
        <v>92</v>
      </c>
      <c r="AJ1119" s="5" t="s">
        <v>1766</v>
      </c>
    </row>
    <row r="1120" spans="1:36" x14ac:dyDescent="0.25">
      <c r="A1120" s="5" t="s">
        <v>1760</v>
      </c>
      <c r="B1120" s="5" t="s">
        <v>1686</v>
      </c>
      <c r="C1120" s="5" t="s">
        <v>1686</v>
      </c>
      <c r="D1120" s="5" t="s">
        <v>1761</v>
      </c>
      <c r="E1120" s="5">
        <v>42.759359000000003</v>
      </c>
      <c r="F1120" s="5">
        <v>42.032035999999998</v>
      </c>
      <c r="G1120" s="5">
        <v>1978</v>
      </c>
      <c r="L1120" s="5">
        <v>2131</v>
      </c>
      <c r="M1120" s="5">
        <v>4.7</v>
      </c>
      <c r="U1120" s="10" t="s">
        <v>1762</v>
      </c>
      <c r="V1120" s="5">
        <v>0</v>
      </c>
      <c r="W1120" s="5" t="s">
        <v>103</v>
      </c>
      <c r="Y1120" s="5">
        <v>271.5</v>
      </c>
      <c r="AC1120" s="5">
        <v>1093000000</v>
      </c>
      <c r="AD1120" s="5" t="s">
        <v>92</v>
      </c>
      <c r="AJ1120" s="5" t="s">
        <v>2010</v>
      </c>
    </row>
    <row r="1121" spans="1:36" x14ac:dyDescent="0.25">
      <c r="A1121" s="5" t="s">
        <v>153</v>
      </c>
      <c r="B1121" s="5" t="s">
        <v>1686</v>
      </c>
      <c r="C1121" s="5" t="s">
        <v>1686</v>
      </c>
      <c r="D1121" s="5" t="s">
        <v>2766</v>
      </c>
      <c r="M1121" s="5">
        <v>4.7</v>
      </c>
      <c r="N1121" s="5" t="s">
        <v>65</v>
      </c>
      <c r="O1121" s="5">
        <v>27000</v>
      </c>
      <c r="P1121" s="7">
        <v>28532</v>
      </c>
      <c r="Q1121" s="5">
        <v>1978</v>
      </c>
      <c r="T1121" s="5" t="s">
        <v>349</v>
      </c>
      <c r="U1121" s="10"/>
      <c r="V1121" s="5">
        <v>0</v>
      </c>
      <c r="W1121" s="5" t="s">
        <v>44</v>
      </c>
      <c r="Y1121" s="5">
        <v>65</v>
      </c>
      <c r="AC1121" s="5">
        <v>470000000</v>
      </c>
      <c r="AD1121" s="5" t="s">
        <v>92</v>
      </c>
      <c r="AJ1121" s="5" t="s">
        <v>2767</v>
      </c>
    </row>
    <row r="1122" spans="1:36" x14ac:dyDescent="0.25">
      <c r="A1122" s="5" t="s">
        <v>1692</v>
      </c>
      <c r="B1122" s="5" t="s">
        <v>1686</v>
      </c>
      <c r="C1122" s="5" t="s">
        <v>1686</v>
      </c>
      <c r="D1122" s="5" t="s">
        <v>1769</v>
      </c>
      <c r="E1122" s="5">
        <v>38.742075999999997</v>
      </c>
      <c r="F1122" s="5">
        <v>21.364041</v>
      </c>
      <c r="G1122" s="5">
        <v>1968</v>
      </c>
      <c r="M1122" s="5">
        <v>4.5999999999999996</v>
      </c>
      <c r="N1122" s="5" t="s">
        <v>65</v>
      </c>
      <c r="O1122" s="5">
        <v>10000</v>
      </c>
      <c r="P1122" s="5">
        <v>1969</v>
      </c>
      <c r="Q1122" s="5">
        <v>1969</v>
      </c>
      <c r="V1122" s="5">
        <v>0</v>
      </c>
      <c r="W1122" s="5" t="s">
        <v>73</v>
      </c>
      <c r="Y1122" s="5">
        <v>96</v>
      </c>
      <c r="Z1122" s="14">
        <v>28</v>
      </c>
      <c r="AC1122" s="5">
        <v>1000000000</v>
      </c>
      <c r="AD1122" s="5" t="s">
        <v>92</v>
      </c>
      <c r="AJ1122" s="5" t="s">
        <v>1708</v>
      </c>
    </row>
    <row r="1123" spans="1:36" x14ac:dyDescent="0.25">
      <c r="A1123" s="5" t="s">
        <v>1767</v>
      </c>
      <c r="B1123" s="5" t="s">
        <v>1686</v>
      </c>
      <c r="C1123" s="5" t="s">
        <v>1686</v>
      </c>
      <c r="D1123" s="5" t="s">
        <v>1768</v>
      </c>
      <c r="E1123" s="5">
        <v>38.371613000000004</v>
      </c>
      <c r="F1123" s="5">
        <v>69.348149000000006</v>
      </c>
      <c r="G1123" s="5">
        <v>1972</v>
      </c>
      <c r="M1123" s="5">
        <v>4.5999999999999996</v>
      </c>
      <c r="N1123" s="5" t="s">
        <v>1691</v>
      </c>
      <c r="O1123" s="5">
        <v>8000</v>
      </c>
      <c r="P1123" s="7">
        <v>26630</v>
      </c>
      <c r="Q1123" s="5">
        <v>1972</v>
      </c>
      <c r="V1123" s="5">
        <v>0</v>
      </c>
      <c r="W1123" s="5" t="s">
        <v>44</v>
      </c>
      <c r="Y1123" s="5">
        <v>317</v>
      </c>
      <c r="Z1123" s="14">
        <v>98</v>
      </c>
      <c r="AC1123" s="5">
        <v>1000000000</v>
      </c>
      <c r="AD1123" s="5" t="s">
        <v>92</v>
      </c>
      <c r="AJ1123" s="5" t="s">
        <v>1704</v>
      </c>
    </row>
    <row r="1124" spans="1:36" x14ac:dyDescent="0.25">
      <c r="A1124" s="5" t="s">
        <v>1770</v>
      </c>
      <c r="B1124" s="5" t="s">
        <v>1686</v>
      </c>
      <c r="C1124" s="5" t="s">
        <v>1686</v>
      </c>
      <c r="D1124" s="5" t="s">
        <v>1771</v>
      </c>
      <c r="E1124" s="5">
        <v>41.657198000000001</v>
      </c>
      <c r="F1124" s="5">
        <v>72.635531</v>
      </c>
      <c r="G1124" s="5">
        <v>1973</v>
      </c>
      <c r="M1124" s="5">
        <v>4.5999999999999996</v>
      </c>
      <c r="N1124" s="5" t="s">
        <v>65</v>
      </c>
      <c r="O1124" s="5">
        <v>27000</v>
      </c>
      <c r="P1124" s="5">
        <v>1977</v>
      </c>
      <c r="Q1124" s="5">
        <v>1977</v>
      </c>
      <c r="V1124" s="5">
        <v>0</v>
      </c>
      <c r="W1124" s="5" t="s">
        <v>44</v>
      </c>
      <c r="Y1124" s="5">
        <v>215</v>
      </c>
      <c r="Z1124" s="14">
        <v>2.843</v>
      </c>
      <c r="AC1124" s="5">
        <v>19500000000</v>
      </c>
      <c r="AD1124" s="5" t="s">
        <v>92</v>
      </c>
      <c r="AJ1124" s="5" t="s">
        <v>1708</v>
      </c>
    </row>
    <row r="1125" spans="1:36" x14ac:dyDescent="0.25">
      <c r="A1125" s="5" t="s">
        <v>570</v>
      </c>
      <c r="B1125" s="5" t="s">
        <v>1686</v>
      </c>
      <c r="C1125" s="5" t="s">
        <v>1686</v>
      </c>
      <c r="D1125" s="5" t="s">
        <v>1772</v>
      </c>
      <c r="E1125" s="5">
        <v>-44.187831000000003</v>
      </c>
      <c r="F1125" s="5">
        <v>170.14967799999999</v>
      </c>
      <c r="G1125" s="5">
        <v>1955</v>
      </c>
      <c r="I1125" s="5">
        <v>1975</v>
      </c>
      <c r="J1125" s="5" t="s">
        <v>1773</v>
      </c>
      <c r="L1125" s="5" t="s">
        <v>2373</v>
      </c>
      <c r="M1125" s="5">
        <v>4.5999999999999996</v>
      </c>
      <c r="N1125" s="5" t="s">
        <v>65</v>
      </c>
      <c r="O1125" s="5">
        <v>4000</v>
      </c>
      <c r="P1125" s="7">
        <v>28841</v>
      </c>
      <c r="Q1125" s="5">
        <v>1978</v>
      </c>
      <c r="U1125" s="5" t="s">
        <v>1774</v>
      </c>
      <c r="V1125" s="5">
        <v>0</v>
      </c>
      <c r="W1125" s="5" t="s">
        <v>90</v>
      </c>
      <c r="Y1125" s="5">
        <v>106</v>
      </c>
      <c r="AC1125" s="5">
        <v>9000000000</v>
      </c>
      <c r="AD1125" s="5" t="s">
        <v>92</v>
      </c>
      <c r="AJ1125" s="5" t="s">
        <v>1775</v>
      </c>
    </row>
    <row r="1126" spans="1:36" x14ac:dyDescent="0.25">
      <c r="A1126" s="5" t="s">
        <v>172</v>
      </c>
      <c r="B1126" s="5" t="s">
        <v>1686</v>
      </c>
      <c r="C1126" s="5" t="s">
        <v>1686</v>
      </c>
      <c r="D1126" s="5" t="s">
        <v>1776</v>
      </c>
      <c r="E1126" s="5">
        <v>42.802222</v>
      </c>
      <c r="F1126" s="5">
        <v>-1.3607359999999999</v>
      </c>
      <c r="I1126" s="5">
        <v>1999</v>
      </c>
      <c r="J1126" s="5">
        <v>2008</v>
      </c>
      <c r="L1126" s="5" t="s">
        <v>1777</v>
      </c>
      <c r="M1126" s="5">
        <v>4.5999999999999996</v>
      </c>
      <c r="N1126" s="5" t="s">
        <v>230</v>
      </c>
      <c r="P1126" s="7">
        <v>38248</v>
      </c>
      <c r="Q1126" s="5">
        <v>2004</v>
      </c>
      <c r="R1126" s="5">
        <v>4000</v>
      </c>
      <c r="V1126" s="5">
        <v>0</v>
      </c>
      <c r="W1126" s="5" t="s">
        <v>44</v>
      </c>
      <c r="Y1126" s="5">
        <v>111</v>
      </c>
      <c r="Z1126" s="5">
        <v>510</v>
      </c>
      <c r="AC1126" s="5">
        <v>418000000</v>
      </c>
      <c r="AD1126" s="5" t="s">
        <v>92</v>
      </c>
      <c r="AJ1126" s="5" t="s">
        <v>1778</v>
      </c>
    </row>
    <row r="1127" spans="1:36" x14ac:dyDescent="0.25">
      <c r="A1127" s="5" t="s">
        <v>153</v>
      </c>
      <c r="B1127" s="5" t="s">
        <v>1686</v>
      </c>
      <c r="C1127" s="5" t="s">
        <v>1686</v>
      </c>
      <c r="D1127" s="5" t="s">
        <v>2768</v>
      </c>
      <c r="E1127" s="5">
        <v>28.674686999999999</v>
      </c>
      <c r="F1127" s="5">
        <v>102.205591</v>
      </c>
      <c r="M1127" s="5">
        <v>4.5999999999999996</v>
      </c>
      <c r="N1127" s="5" t="s">
        <v>1691</v>
      </c>
      <c r="P1127" s="7">
        <v>37318</v>
      </c>
      <c r="Q1127" s="5">
        <v>2002</v>
      </c>
      <c r="T1127" s="5" t="s">
        <v>2769</v>
      </c>
      <c r="V1127" s="5">
        <v>0</v>
      </c>
      <c r="W1127" s="5" t="s">
        <v>44</v>
      </c>
      <c r="Y1127" s="5">
        <v>93</v>
      </c>
      <c r="AC1127" s="5">
        <v>658000000</v>
      </c>
      <c r="AD1127" s="5" t="s">
        <v>92</v>
      </c>
      <c r="AJ1127" s="5" t="s">
        <v>2770</v>
      </c>
    </row>
    <row r="1128" spans="1:36" x14ac:dyDescent="0.25">
      <c r="A1128" s="5" t="s">
        <v>153</v>
      </c>
      <c r="B1128" s="5" t="s">
        <v>1686</v>
      </c>
      <c r="C1128" s="5" t="s">
        <v>1686</v>
      </c>
      <c r="D1128" s="5" t="s">
        <v>2771</v>
      </c>
      <c r="E1128" s="5">
        <v>24.622329000000001</v>
      </c>
      <c r="F1128" s="5">
        <v>100.44851300000001</v>
      </c>
      <c r="M1128" s="5">
        <v>4.5999999999999996</v>
      </c>
      <c r="N1128" s="5" t="s">
        <v>65</v>
      </c>
      <c r="P1128" s="7">
        <v>34643</v>
      </c>
      <c r="Q1128" s="5">
        <v>1994</v>
      </c>
      <c r="T1128" s="5" t="s">
        <v>2772</v>
      </c>
      <c r="V1128" s="5">
        <v>0</v>
      </c>
      <c r="W1128" s="5" t="s">
        <v>44</v>
      </c>
      <c r="Y1128" s="5">
        <v>132</v>
      </c>
      <c r="AC1128" s="5">
        <v>1060000000</v>
      </c>
      <c r="AD1128" s="5" t="s">
        <v>92</v>
      </c>
      <c r="AJ1128" s="5" t="s">
        <v>2773</v>
      </c>
    </row>
    <row r="1129" spans="1:36" x14ac:dyDescent="0.25">
      <c r="A1129" s="5" t="s">
        <v>153</v>
      </c>
      <c r="B1129" s="5" t="s">
        <v>1686</v>
      </c>
      <c r="C1129" s="5" t="s">
        <v>1686</v>
      </c>
      <c r="D1129" s="5" t="s">
        <v>2774</v>
      </c>
      <c r="E1129" s="5">
        <v>27.674477</v>
      </c>
      <c r="F1129" s="5">
        <v>120.04476099999999</v>
      </c>
      <c r="I1129" s="6">
        <v>37465</v>
      </c>
      <c r="M1129" s="5">
        <v>4.5999999999999996</v>
      </c>
      <c r="N1129" s="5" t="s">
        <v>65</v>
      </c>
      <c r="P1129" s="7">
        <v>38757</v>
      </c>
      <c r="Q1129" s="5">
        <v>2006</v>
      </c>
      <c r="T1129" s="5" t="s">
        <v>2772</v>
      </c>
      <c r="V1129" s="5">
        <v>0</v>
      </c>
      <c r="W1129" s="5" t="s">
        <v>44</v>
      </c>
      <c r="Y1129" s="5">
        <v>156.80000000000001</v>
      </c>
      <c r="AC1129" s="5">
        <v>18240000000</v>
      </c>
      <c r="AD1129" s="5" t="s">
        <v>92</v>
      </c>
      <c r="AJ1129" s="5" t="s">
        <v>2775</v>
      </c>
    </row>
    <row r="1130" spans="1:36" x14ac:dyDescent="0.25">
      <c r="A1130" s="5" t="s">
        <v>189</v>
      </c>
      <c r="B1130" s="5" t="s">
        <v>1686</v>
      </c>
      <c r="C1130" s="5" t="s">
        <v>1686</v>
      </c>
      <c r="D1130" s="5" t="s">
        <v>1781</v>
      </c>
      <c r="E1130" s="5">
        <v>46.397472999999998</v>
      </c>
      <c r="F1130" s="5">
        <v>5.6654559999999998</v>
      </c>
      <c r="G1130" s="5">
        <v>1968</v>
      </c>
      <c r="M1130" s="5">
        <v>4.5</v>
      </c>
      <c r="N1130" s="5" t="s">
        <v>40</v>
      </c>
      <c r="P1130" s="7">
        <v>26105</v>
      </c>
      <c r="Q1130" s="5">
        <v>1971</v>
      </c>
      <c r="V1130" s="5">
        <v>0</v>
      </c>
      <c r="W1130" s="5" t="s">
        <v>44</v>
      </c>
      <c r="Y1130" s="5">
        <v>130</v>
      </c>
      <c r="Z1130" s="14">
        <v>16</v>
      </c>
      <c r="AC1130" s="5">
        <v>592000000</v>
      </c>
      <c r="AD1130" s="5" t="s">
        <v>92</v>
      </c>
      <c r="AJ1130" s="5" t="s">
        <v>2178</v>
      </c>
    </row>
    <row r="1131" spans="1:36" x14ac:dyDescent="0.25">
      <c r="A1131" s="5" t="s">
        <v>153</v>
      </c>
      <c r="B1131" s="5" t="s">
        <v>1686</v>
      </c>
      <c r="C1131" s="5" t="s">
        <v>1686</v>
      </c>
      <c r="D1131" s="5" t="s">
        <v>1779</v>
      </c>
      <c r="E1131" s="5">
        <v>31.346672000000002</v>
      </c>
      <c r="F1131" s="5">
        <v>116.273397</v>
      </c>
      <c r="G1131" s="5">
        <v>1954</v>
      </c>
      <c r="I1131" s="5" t="s">
        <v>2776</v>
      </c>
      <c r="M1131" s="5">
        <v>4.5</v>
      </c>
      <c r="N1131" s="5" t="s">
        <v>1691</v>
      </c>
      <c r="P1131" s="7">
        <v>26734</v>
      </c>
      <c r="Q1131" s="5">
        <v>1973</v>
      </c>
      <c r="T1131" s="5" t="s">
        <v>2777</v>
      </c>
      <c r="V1131" s="5">
        <v>0</v>
      </c>
      <c r="W1131" s="14" t="s">
        <v>44</v>
      </c>
      <c r="Y1131" s="5">
        <v>74</v>
      </c>
      <c r="AC1131" s="5">
        <v>470000000</v>
      </c>
      <c r="AD1131" s="5" t="s">
        <v>92</v>
      </c>
      <c r="AJ1131" s="5" t="s">
        <v>2778</v>
      </c>
    </row>
    <row r="1132" spans="1:36" x14ac:dyDescent="0.25">
      <c r="A1132" s="5" t="s">
        <v>153</v>
      </c>
      <c r="B1132" s="5" t="s">
        <v>1686</v>
      </c>
      <c r="C1132" s="5" t="s">
        <v>1686</v>
      </c>
      <c r="D1132" s="5" t="s">
        <v>1780</v>
      </c>
      <c r="E1132" s="5">
        <v>23.728919999999999</v>
      </c>
      <c r="F1132" s="5">
        <v>107.979039</v>
      </c>
      <c r="G1132" s="5">
        <v>1982</v>
      </c>
      <c r="I1132" s="6">
        <v>30106</v>
      </c>
      <c r="M1132" s="5">
        <v>4.5</v>
      </c>
      <c r="N1132" s="5" t="s">
        <v>1691</v>
      </c>
      <c r="P1132" s="7">
        <v>34010</v>
      </c>
      <c r="Q1132" s="5">
        <v>1993</v>
      </c>
      <c r="T1132" s="5" t="s">
        <v>2158</v>
      </c>
      <c r="V1132" s="5">
        <v>0</v>
      </c>
      <c r="W1132" s="14" t="s">
        <v>44</v>
      </c>
      <c r="Y1132" s="5">
        <v>74.5</v>
      </c>
      <c r="AC1132" s="5">
        <v>419000000</v>
      </c>
      <c r="AD1132" s="5" t="s">
        <v>92</v>
      </c>
      <c r="AJ1132" s="5" t="s">
        <v>2779</v>
      </c>
    </row>
    <row r="1133" spans="1:36" x14ac:dyDescent="0.25">
      <c r="A1133" s="5" t="s">
        <v>508</v>
      </c>
      <c r="B1133" s="5" t="s">
        <v>1686</v>
      </c>
      <c r="C1133" s="5" t="s">
        <v>1686</v>
      </c>
      <c r="D1133" s="5" t="s">
        <v>2374</v>
      </c>
      <c r="E1133" s="5">
        <v>25.725895000000001</v>
      </c>
      <c r="F1133" s="5">
        <v>-99.314300000000003</v>
      </c>
      <c r="G1133" s="6" t="s">
        <v>2179</v>
      </c>
      <c r="H1133" s="6"/>
      <c r="I1133" s="6" t="s">
        <v>364</v>
      </c>
      <c r="J1133" s="5" t="s">
        <v>2180</v>
      </c>
      <c r="L1133" s="5" t="s">
        <v>2181</v>
      </c>
      <c r="M1133" s="5">
        <v>4.5</v>
      </c>
      <c r="N1133" s="5" t="s">
        <v>326</v>
      </c>
      <c r="P1133" s="7">
        <v>41604</v>
      </c>
      <c r="Q1133" s="5">
        <v>2013</v>
      </c>
      <c r="S1133" s="5">
        <v>46000</v>
      </c>
      <c r="V1133" s="5">
        <v>0</v>
      </c>
      <c r="W1133" s="5" t="s">
        <v>44</v>
      </c>
      <c r="Y1133" s="5">
        <v>42</v>
      </c>
      <c r="Z1133" s="5">
        <v>180.91</v>
      </c>
      <c r="AC1133" s="5">
        <v>1785000000</v>
      </c>
      <c r="AD1133" s="5" t="s">
        <v>92</v>
      </c>
      <c r="AI1133" s="5" t="s">
        <v>2465</v>
      </c>
      <c r="AJ1133" s="5" t="s">
        <v>2182</v>
      </c>
    </row>
    <row r="1134" spans="1:36" x14ac:dyDescent="0.25">
      <c r="A1134" s="5" t="s">
        <v>153</v>
      </c>
      <c r="B1134" s="5" t="s">
        <v>1686</v>
      </c>
      <c r="C1134" s="5" t="s">
        <v>1686</v>
      </c>
      <c r="D1134" s="5" t="s">
        <v>2780</v>
      </c>
      <c r="E1134" s="5">
        <v>30.556315999999999</v>
      </c>
      <c r="F1134" s="5">
        <v>102.055904</v>
      </c>
      <c r="G1134" s="6"/>
      <c r="H1134" s="6"/>
      <c r="I1134" s="6"/>
      <c r="M1134" s="5">
        <v>4.5</v>
      </c>
      <c r="N1134" s="5" t="s">
        <v>65</v>
      </c>
      <c r="O1134" s="5">
        <v>4000</v>
      </c>
      <c r="P1134" s="7">
        <v>43153</v>
      </c>
      <c r="Q1134" s="5">
        <v>2018</v>
      </c>
      <c r="V1134" s="5">
        <v>0</v>
      </c>
      <c r="W1134" s="5" t="s">
        <v>44</v>
      </c>
      <c r="Y1134" s="5">
        <v>223.5</v>
      </c>
      <c r="AC1134" s="5">
        <v>706000000</v>
      </c>
      <c r="AD1134" s="5" t="s">
        <v>92</v>
      </c>
      <c r="AJ1134" s="5" t="s">
        <v>2781</v>
      </c>
    </row>
    <row r="1135" spans="1:36" x14ac:dyDescent="0.25">
      <c r="A1135" s="5" t="s">
        <v>153</v>
      </c>
      <c r="B1135" s="5" t="s">
        <v>1686</v>
      </c>
      <c r="C1135" s="5" t="s">
        <v>1686</v>
      </c>
      <c r="D1135" s="5" t="s">
        <v>2782</v>
      </c>
      <c r="G1135" s="6"/>
      <c r="H1135" s="6"/>
      <c r="I1135" s="6" t="s">
        <v>2783</v>
      </c>
      <c r="M1135" s="5">
        <v>4.5</v>
      </c>
      <c r="N1135" s="5" t="s">
        <v>1691</v>
      </c>
      <c r="P1135" s="7">
        <v>29113</v>
      </c>
      <c r="Q1135" s="5">
        <v>1979</v>
      </c>
      <c r="T1135" s="5" t="s">
        <v>2760</v>
      </c>
      <c r="V1135" s="5">
        <v>0</v>
      </c>
      <c r="W1135" s="5" t="s">
        <v>44</v>
      </c>
      <c r="Y1135" s="5">
        <v>29</v>
      </c>
      <c r="AC1135" s="5">
        <v>29000000</v>
      </c>
      <c r="AD1135" s="5" t="s">
        <v>92</v>
      </c>
      <c r="AJ1135" s="5" t="s">
        <v>2784</v>
      </c>
    </row>
    <row r="1136" spans="1:36" x14ac:dyDescent="0.25">
      <c r="A1136" s="5" t="s">
        <v>1751</v>
      </c>
      <c r="B1136" s="5" t="s">
        <v>1686</v>
      </c>
      <c r="C1136" s="5" t="s">
        <v>1686</v>
      </c>
      <c r="D1136" s="5" t="s">
        <v>2609</v>
      </c>
      <c r="E1136" s="5">
        <v>21.495421</v>
      </c>
      <c r="F1136" s="5">
        <v>103.99589</v>
      </c>
      <c r="G1136" s="6" t="s">
        <v>2610</v>
      </c>
      <c r="H1136" s="6" t="s">
        <v>2611</v>
      </c>
      <c r="I1136" s="5">
        <v>2012</v>
      </c>
      <c r="J1136" s="5">
        <v>2017</v>
      </c>
      <c r="M1136" s="5">
        <v>4.4000000000000004</v>
      </c>
      <c r="P1136" s="7">
        <v>41839</v>
      </c>
      <c r="Q1136" s="5">
        <v>2014</v>
      </c>
      <c r="U1136" s="5" t="s">
        <v>2612</v>
      </c>
      <c r="V1136" s="5">
        <v>0</v>
      </c>
      <c r="W1136" s="5" t="s">
        <v>44</v>
      </c>
      <c r="Y1136" s="5">
        <v>137</v>
      </c>
      <c r="Z1136" s="5">
        <v>43.76</v>
      </c>
      <c r="AC1136" s="5">
        <v>9260000000</v>
      </c>
      <c r="AD1136" s="5" t="s">
        <v>92</v>
      </c>
      <c r="AJ1136" s="5" t="s">
        <v>2613</v>
      </c>
    </row>
    <row r="1137" spans="1:36" x14ac:dyDescent="0.25">
      <c r="A1137" s="5" t="s">
        <v>108</v>
      </c>
      <c r="B1137" s="5" t="s">
        <v>1686</v>
      </c>
      <c r="C1137" s="5" t="s">
        <v>1686</v>
      </c>
      <c r="D1137" s="5" t="s">
        <v>1782</v>
      </c>
      <c r="E1137" s="5">
        <v>46.422508999999998</v>
      </c>
      <c r="F1137" s="5">
        <v>12.387509</v>
      </c>
      <c r="M1137" s="5">
        <v>4.4000000000000004</v>
      </c>
      <c r="P1137" s="7">
        <v>21928</v>
      </c>
      <c r="Q1137" s="5">
        <v>1960</v>
      </c>
      <c r="V1137" s="5">
        <v>0</v>
      </c>
      <c r="W1137" s="5" t="s">
        <v>73</v>
      </c>
      <c r="AJ1137" s="5" t="s">
        <v>1724</v>
      </c>
    </row>
    <row r="1138" spans="1:36" x14ac:dyDescent="0.25">
      <c r="A1138" s="5" t="s">
        <v>108</v>
      </c>
      <c r="B1138" s="5" t="s">
        <v>1686</v>
      </c>
      <c r="C1138" s="5" t="s">
        <v>1686</v>
      </c>
      <c r="D1138" s="5" t="s">
        <v>1783</v>
      </c>
      <c r="E1138" s="5">
        <v>44.225718000000001</v>
      </c>
      <c r="F1138" s="5">
        <v>7.3900750000000004</v>
      </c>
      <c r="G1138" s="5">
        <v>1965</v>
      </c>
      <c r="M1138" s="5">
        <v>4.4000000000000004</v>
      </c>
      <c r="P1138" s="7">
        <v>24204</v>
      </c>
      <c r="Q1138" s="5">
        <v>1966</v>
      </c>
      <c r="V1138" s="5">
        <v>0</v>
      </c>
      <c r="W1138" s="5" t="s">
        <v>73</v>
      </c>
      <c r="Y1138" s="5">
        <v>93</v>
      </c>
      <c r="AC1138" s="5">
        <v>13000000</v>
      </c>
      <c r="AD1138" s="5" t="s">
        <v>92</v>
      </c>
      <c r="AJ1138" s="5" t="s">
        <v>1702</v>
      </c>
    </row>
    <row r="1139" spans="1:36" x14ac:dyDescent="0.25">
      <c r="A1139" s="5" t="s">
        <v>1739</v>
      </c>
      <c r="B1139" s="5" t="s">
        <v>1686</v>
      </c>
      <c r="C1139" s="5" t="s">
        <v>1686</v>
      </c>
      <c r="D1139" s="5" t="s">
        <v>1740</v>
      </c>
      <c r="E1139" s="5">
        <v>-15.764535</v>
      </c>
      <c r="F1139" s="5">
        <v>26.016811000000001</v>
      </c>
      <c r="G1139" s="5">
        <v>1977</v>
      </c>
      <c r="I1139" s="5" t="s">
        <v>987</v>
      </c>
      <c r="M1139" s="5">
        <v>4.4000000000000004</v>
      </c>
      <c r="P1139" s="7">
        <v>30981</v>
      </c>
      <c r="Q1139" s="5">
        <v>1984</v>
      </c>
      <c r="R1139" s="5">
        <v>21400</v>
      </c>
      <c r="V1139" s="5">
        <v>0</v>
      </c>
      <c r="W1139" s="5" t="s">
        <v>44</v>
      </c>
      <c r="Y1139" s="5">
        <v>62</v>
      </c>
      <c r="Z1139" s="14">
        <v>390</v>
      </c>
      <c r="AC1139" s="5">
        <v>3900000000</v>
      </c>
      <c r="AD1139" s="5" t="s">
        <v>92</v>
      </c>
      <c r="AI1139" s="5" t="s">
        <v>2183</v>
      </c>
      <c r="AJ1139" s="5" t="s">
        <v>2184</v>
      </c>
    </row>
    <row r="1140" spans="1:36" x14ac:dyDescent="0.25">
      <c r="A1140" s="5" t="s">
        <v>51</v>
      </c>
      <c r="B1140" s="5" t="s">
        <v>1686</v>
      </c>
      <c r="C1140" s="5" t="s">
        <v>1686</v>
      </c>
      <c r="D1140" s="5" t="s">
        <v>1787</v>
      </c>
      <c r="E1140" s="5">
        <v>33.661178</v>
      </c>
      <c r="F1140" s="5">
        <v>-82.199787999999998</v>
      </c>
      <c r="G1140" s="5">
        <v>1952</v>
      </c>
      <c r="M1140" s="5">
        <v>4.3</v>
      </c>
      <c r="N1140" s="5" t="s">
        <v>65</v>
      </c>
      <c r="O1140" s="5">
        <v>1500</v>
      </c>
      <c r="P1140" s="7">
        <v>27243</v>
      </c>
      <c r="Q1140" s="5">
        <v>1974</v>
      </c>
      <c r="V1140" s="5">
        <v>0</v>
      </c>
      <c r="W1140" s="5" t="s">
        <v>44</v>
      </c>
      <c r="Y1140" s="5">
        <v>60</v>
      </c>
      <c r="Z1140" s="14">
        <v>288</v>
      </c>
      <c r="AC1140" s="5">
        <v>3517000000</v>
      </c>
      <c r="AD1140" s="5" t="s">
        <v>92</v>
      </c>
      <c r="AJ1140" s="5" t="s">
        <v>1702</v>
      </c>
    </row>
    <row r="1141" spans="1:36" x14ac:dyDescent="0.25">
      <c r="A1141" s="5" t="s">
        <v>108</v>
      </c>
      <c r="B1141" s="5" t="s">
        <v>1686</v>
      </c>
      <c r="C1141" s="5" t="s">
        <v>1686</v>
      </c>
      <c r="D1141" s="5" t="s">
        <v>2053</v>
      </c>
      <c r="E1141" s="5">
        <v>43.589064999999998</v>
      </c>
      <c r="F1141" s="5">
        <v>12.051171999999999</v>
      </c>
      <c r="G1141" s="5">
        <v>1990</v>
      </c>
      <c r="M1141" s="5">
        <v>4.3</v>
      </c>
      <c r="P1141" s="7">
        <v>37221</v>
      </c>
      <c r="Q1141" s="5">
        <v>2001</v>
      </c>
      <c r="V1141" s="5">
        <v>0</v>
      </c>
      <c r="W1141" s="5" t="s">
        <v>73</v>
      </c>
      <c r="Z1141" s="5">
        <v>7.7</v>
      </c>
      <c r="AJ1141" s="5" t="s">
        <v>2054</v>
      </c>
    </row>
    <row r="1142" spans="1:36" x14ac:dyDescent="0.25">
      <c r="A1142" s="5" t="s">
        <v>1754</v>
      </c>
      <c r="B1142" s="5" t="s">
        <v>1686</v>
      </c>
      <c r="C1142" s="5" t="s">
        <v>1686</v>
      </c>
      <c r="D1142" s="5" t="s">
        <v>1788</v>
      </c>
      <c r="E1142" s="5">
        <v>31.802737</v>
      </c>
      <c r="F1142" s="5">
        <v>50.095373000000002</v>
      </c>
      <c r="G1142" s="6">
        <v>38299</v>
      </c>
      <c r="H1142" s="5" t="s">
        <v>1789</v>
      </c>
      <c r="I1142" s="5" t="s">
        <v>1790</v>
      </c>
      <c r="L1142" s="5">
        <v>1178</v>
      </c>
      <c r="M1142" s="5">
        <v>4.3</v>
      </c>
      <c r="N1142" s="5" t="s">
        <v>65</v>
      </c>
      <c r="O1142" s="5">
        <v>18000</v>
      </c>
      <c r="P1142" s="7">
        <v>38849</v>
      </c>
      <c r="Q1142" s="5">
        <v>2006</v>
      </c>
      <c r="U1142" s="5" t="s">
        <v>1791</v>
      </c>
      <c r="V1142" s="5">
        <v>0</v>
      </c>
      <c r="W1142" s="5" t="s">
        <v>73</v>
      </c>
      <c r="Y1142" s="5">
        <v>185</v>
      </c>
      <c r="AC1142" s="5">
        <v>2970000000</v>
      </c>
      <c r="AD1142" s="5" t="s">
        <v>92</v>
      </c>
      <c r="AI1142" s="5" t="s">
        <v>1792</v>
      </c>
      <c r="AJ1142" s="5" t="s">
        <v>1793</v>
      </c>
    </row>
    <row r="1143" spans="1:36" x14ac:dyDescent="0.25">
      <c r="A1143" s="5" t="s">
        <v>784</v>
      </c>
      <c r="B1143" s="5" t="s">
        <v>1686</v>
      </c>
      <c r="C1143" s="5" t="s">
        <v>1686</v>
      </c>
      <c r="D1143" s="5" t="s">
        <v>2375</v>
      </c>
      <c r="E1143" s="5">
        <v>-20.033196</v>
      </c>
      <c r="F1143" s="5">
        <v>-48.221784999999997</v>
      </c>
      <c r="G1143" s="5" t="s">
        <v>2185</v>
      </c>
      <c r="M1143" s="5">
        <v>4.2</v>
      </c>
      <c r="N1143" s="5" t="s">
        <v>326</v>
      </c>
      <c r="P1143" s="7">
        <v>27084</v>
      </c>
      <c r="Q1143" s="5">
        <v>1974</v>
      </c>
      <c r="V1143" s="5">
        <v>0</v>
      </c>
      <c r="W1143" s="5" t="s">
        <v>44</v>
      </c>
      <c r="Y1143" s="5" t="s">
        <v>2186</v>
      </c>
      <c r="AC1143" s="5" t="s">
        <v>2187</v>
      </c>
      <c r="AD1143" s="5" t="s">
        <v>92</v>
      </c>
      <c r="AJ1143" s="5" t="s">
        <v>2188</v>
      </c>
    </row>
    <row r="1144" spans="1:36" x14ac:dyDescent="0.25">
      <c r="A1144" s="5" t="s">
        <v>1799</v>
      </c>
      <c r="B1144" s="5" t="s">
        <v>1686</v>
      </c>
      <c r="C1144" s="5" t="s">
        <v>1686</v>
      </c>
      <c r="D1144" s="5" t="s">
        <v>1800</v>
      </c>
      <c r="E1144" s="5">
        <v>39.487194000000002</v>
      </c>
      <c r="F1144" s="5">
        <v>46.040562999999999</v>
      </c>
      <c r="G1144" s="5">
        <v>1974</v>
      </c>
      <c r="M1144" s="5">
        <v>4.2</v>
      </c>
      <c r="P1144" s="5">
        <v>1982</v>
      </c>
      <c r="Q1144" s="5">
        <v>1982</v>
      </c>
      <c r="V1144" s="5">
        <v>0</v>
      </c>
      <c r="W1144" s="5" t="s">
        <v>103</v>
      </c>
      <c r="X1144" s="5" t="s">
        <v>1801</v>
      </c>
      <c r="Y1144" s="5">
        <v>69</v>
      </c>
      <c r="Z1144" s="5">
        <v>381.2</v>
      </c>
      <c r="AC1144" s="5">
        <v>96000000</v>
      </c>
      <c r="AD1144" s="5" t="s">
        <v>92</v>
      </c>
      <c r="AJ1144" s="5" t="s">
        <v>1802</v>
      </c>
    </row>
    <row r="1145" spans="1:36" x14ac:dyDescent="0.25">
      <c r="A1145" s="5" t="s">
        <v>1795</v>
      </c>
      <c r="B1145" s="5" t="s">
        <v>1686</v>
      </c>
      <c r="C1145" s="5" t="s">
        <v>1686</v>
      </c>
      <c r="D1145" s="5" t="s">
        <v>1796</v>
      </c>
      <c r="E1145" s="5">
        <v>42.106468</v>
      </c>
      <c r="F1145" s="5">
        <v>19.826644000000002</v>
      </c>
      <c r="G1145" s="5">
        <v>1985</v>
      </c>
      <c r="M1145" s="5">
        <v>4.2</v>
      </c>
      <c r="N1145" s="5" t="s">
        <v>65</v>
      </c>
      <c r="O1145" s="5">
        <v>7000</v>
      </c>
      <c r="P1145" s="5">
        <v>1986</v>
      </c>
      <c r="Q1145" s="5">
        <v>1986</v>
      </c>
      <c r="V1145" s="5">
        <v>0</v>
      </c>
      <c r="W1145" s="5" t="s">
        <v>73</v>
      </c>
      <c r="Y1145" s="5">
        <v>130</v>
      </c>
      <c r="AC1145" s="5">
        <v>1600000000</v>
      </c>
      <c r="AD1145" s="5" t="s">
        <v>92</v>
      </c>
      <c r="AJ1145" s="5" t="s">
        <v>1708</v>
      </c>
    </row>
    <row r="1146" spans="1:36" x14ac:dyDescent="0.25">
      <c r="A1146" s="5" t="s">
        <v>149</v>
      </c>
      <c r="B1146" s="5" t="s">
        <v>1686</v>
      </c>
      <c r="C1146" s="5" t="s">
        <v>1686</v>
      </c>
      <c r="D1146" s="5" t="s">
        <v>1794</v>
      </c>
      <c r="E1146" s="5">
        <v>56.286790000000003</v>
      </c>
      <c r="F1146" s="5">
        <v>101.78373999999999</v>
      </c>
      <c r="M1146" s="5">
        <v>4.2</v>
      </c>
      <c r="P1146" s="5">
        <v>1996</v>
      </c>
      <c r="Q1146" s="5">
        <v>1996</v>
      </c>
      <c r="V1146" s="5">
        <v>0</v>
      </c>
      <c r="W1146" s="5" t="s">
        <v>44</v>
      </c>
      <c r="Y1146" s="5">
        <v>100</v>
      </c>
      <c r="AC1146" s="5">
        <v>169000000</v>
      </c>
      <c r="AD1146" s="5" t="s">
        <v>92</v>
      </c>
      <c r="AJ1146" s="5" t="s">
        <v>1714</v>
      </c>
    </row>
    <row r="1147" spans="1:36" x14ac:dyDescent="0.25">
      <c r="A1147" s="5" t="s">
        <v>153</v>
      </c>
      <c r="B1147" s="5" t="s">
        <v>1686</v>
      </c>
      <c r="C1147" s="5" t="s">
        <v>1686</v>
      </c>
      <c r="D1147" s="5" t="s">
        <v>2785</v>
      </c>
      <c r="E1147" s="5">
        <v>29.449714</v>
      </c>
      <c r="F1147" s="5">
        <v>102.219201</v>
      </c>
      <c r="G1147" s="6"/>
      <c r="I1147" s="6"/>
      <c r="M1147" s="5">
        <v>4.2</v>
      </c>
      <c r="N1147" s="5" t="s">
        <v>65</v>
      </c>
      <c r="P1147" s="7">
        <v>42447</v>
      </c>
      <c r="Q1147" s="5">
        <v>2016</v>
      </c>
      <c r="V1147" s="5">
        <v>0</v>
      </c>
      <c r="W1147" s="5" t="s">
        <v>44</v>
      </c>
      <c r="AC1147" s="5">
        <v>742000000</v>
      </c>
      <c r="AD1147" s="5" t="s">
        <v>92</v>
      </c>
      <c r="AJ1147" s="5" t="s">
        <v>2786</v>
      </c>
    </row>
    <row r="1148" spans="1:36" x14ac:dyDescent="0.25">
      <c r="A1148" s="5" t="s">
        <v>153</v>
      </c>
      <c r="B1148" s="5" t="s">
        <v>1686</v>
      </c>
      <c r="C1148" s="5" t="s">
        <v>1686</v>
      </c>
      <c r="D1148" s="5" t="s">
        <v>2787</v>
      </c>
      <c r="G1148" s="6"/>
      <c r="I1148" s="6"/>
      <c r="M1148" s="5">
        <v>4.2</v>
      </c>
      <c r="N1148" s="5" t="s">
        <v>65</v>
      </c>
      <c r="O1148" s="5">
        <v>204</v>
      </c>
      <c r="V1148" s="5">
        <v>0</v>
      </c>
      <c r="W1148" s="5" t="s">
        <v>44</v>
      </c>
      <c r="Y1148" s="5">
        <v>63</v>
      </c>
      <c r="AC1148" s="5">
        <v>950000000</v>
      </c>
      <c r="AD1148" s="5" t="s">
        <v>92</v>
      </c>
      <c r="AJ1148" s="5" t="s">
        <v>2788</v>
      </c>
    </row>
    <row r="1149" spans="1:36" x14ac:dyDescent="0.25">
      <c r="A1149" s="5" t="s">
        <v>172</v>
      </c>
      <c r="B1149" s="5" t="s">
        <v>1686</v>
      </c>
      <c r="C1149" s="5" t="s">
        <v>1686</v>
      </c>
      <c r="D1149" s="5" t="s">
        <v>1805</v>
      </c>
      <c r="E1149" s="5">
        <v>38.339908000000001</v>
      </c>
      <c r="F1149" s="5">
        <v>-1.6486320000000001</v>
      </c>
      <c r="G1149" s="5">
        <v>1960</v>
      </c>
      <c r="M1149" s="5">
        <v>4.0999999999999996</v>
      </c>
      <c r="P1149" s="7">
        <v>23482</v>
      </c>
      <c r="Q1149" s="5">
        <v>1964</v>
      </c>
      <c r="V1149" s="5">
        <v>0</v>
      </c>
      <c r="W1149" s="5" t="s">
        <v>1806</v>
      </c>
      <c r="Y1149" s="5">
        <v>49</v>
      </c>
      <c r="AC1149" s="5">
        <v>37000000</v>
      </c>
      <c r="AD1149" s="5" t="s">
        <v>92</v>
      </c>
      <c r="AJ1149" s="5" t="s">
        <v>1702</v>
      </c>
    </row>
    <row r="1150" spans="1:36" x14ac:dyDescent="0.25">
      <c r="A1150" s="5" t="s">
        <v>123</v>
      </c>
      <c r="B1150" s="5" t="s">
        <v>1686</v>
      </c>
      <c r="C1150" s="5" t="s">
        <v>1686</v>
      </c>
      <c r="D1150" s="5" t="s">
        <v>1803</v>
      </c>
      <c r="E1150" s="5">
        <v>52.077916000000002</v>
      </c>
      <c r="F1150" s="5">
        <v>-118.56609899999999</v>
      </c>
      <c r="G1150" s="5">
        <v>1973</v>
      </c>
      <c r="M1150" s="5">
        <v>4.0999999999999996</v>
      </c>
      <c r="P1150" s="7">
        <v>27034</v>
      </c>
      <c r="Q1150" s="5">
        <v>1974</v>
      </c>
      <c r="V1150" s="5">
        <v>0</v>
      </c>
      <c r="W1150" s="5" t="s">
        <v>44</v>
      </c>
      <c r="Y1150" s="5">
        <v>240</v>
      </c>
      <c r="AC1150" s="5">
        <v>24762000000</v>
      </c>
      <c r="AD1150" s="5" t="s">
        <v>92</v>
      </c>
      <c r="AI1150" s="5" t="s">
        <v>2062</v>
      </c>
      <c r="AJ1150" s="5" t="s">
        <v>1804</v>
      </c>
    </row>
    <row r="1151" spans="1:36" x14ac:dyDescent="0.25">
      <c r="A1151" s="5" t="s">
        <v>123</v>
      </c>
      <c r="B1151" s="5" t="s">
        <v>1686</v>
      </c>
      <c r="C1151" s="5" t="s">
        <v>1686</v>
      </c>
      <c r="D1151" s="14" t="s">
        <v>1807</v>
      </c>
      <c r="E1151" s="14">
        <v>49.753374000000001</v>
      </c>
      <c r="F1151" s="14">
        <v>-68.606880000000004</v>
      </c>
      <c r="G1151" s="14" t="s">
        <v>2063</v>
      </c>
      <c r="H1151" s="5" t="s">
        <v>2064</v>
      </c>
      <c r="K1151" s="5" t="s">
        <v>1808</v>
      </c>
      <c r="L1151" s="14" t="s">
        <v>890</v>
      </c>
      <c r="M1151" s="14">
        <v>4.0999999999999996</v>
      </c>
      <c r="N1151" s="5" t="s">
        <v>230</v>
      </c>
      <c r="O1151" s="14"/>
      <c r="P1151" s="13">
        <v>27690</v>
      </c>
      <c r="Q1151" s="14">
        <v>1975</v>
      </c>
      <c r="R1151" s="14"/>
      <c r="S1151" s="14"/>
      <c r="U1151" s="5">
        <v>1500</v>
      </c>
      <c r="V1151" s="5">
        <v>0</v>
      </c>
      <c r="W1151" s="14" t="s">
        <v>44</v>
      </c>
      <c r="X1151" s="14"/>
      <c r="Y1151" s="14">
        <v>108</v>
      </c>
      <c r="Z1151" s="14">
        <v>236</v>
      </c>
      <c r="AA1151" s="14"/>
      <c r="AB1151" s="14"/>
      <c r="AC1151" s="5">
        <v>10423000000</v>
      </c>
      <c r="AD1151" s="5" t="s">
        <v>92</v>
      </c>
      <c r="AJ1151" s="5" t="s">
        <v>2065</v>
      </c>
    </row>
    <row r="1152" spans="1:36" x14ac:dyDescent="0.25">
      <c r="A1152" s="5" t="s">
        <v>51</v>
      </c>
      <c r="B1152" s="5" t="s">
        <v>1686</v>
      </c>
      <c r="C1152" s="5" t="s">
        <v>1686</v>
      </c>
      <c r="D1152" s="5" t="s">
        <v>2189</v>
      </c>
      <c r="E1152" s="5">
        <v>35.714872</v>
      </c>
      <c r="F1152" s="5">
        <v>-101.553061</v>
      </c>
      <c r="G1152" s="5" t="s">
        <v>2190</v>
      </c>
      <c r="M1152" s="5">
        <v>4.0999999999999996</v>
      </c>
      <c r="N1152" s="5" t="s">
        <v>933</v>
      </c>
      <c r="P1152" s="7">
        <v>24308</v>
      </c>
      <c r="Q1152" s="5">
        <v>1966</v>
      </c>
      <c r="V1152" s="5">
        <v>0</v>
      </c>
      <c r="W1152" s="5" t="s">
        <v>44</v>
      </c>
      <c r="AJ1152" s="5" t="s">
        <v>2191</v>
      </c>
    </row>
    <row r="1153" spans="1:36" x14ac:dyDescent="0.25">
      <c r="A1153" s="5" t="s">
        <v>153</v>
      </c>
      <c r="B1153" s="5" t="s">
        <v>1686</v>
      </c>
      <c r="C1153" s="5" t="s">
        <v>1686</v>
      </c>
      <c r="D1153" s="5" t="s">
        <v>1877</v>
      </c>
      <c r="E1153" s="5">
        <v>26.3032</v>
      </c>
      <c r="F1153" s="5">
        <v>118.812127</v>
      </c>
      <c r="G1153" s="5">
        <v>1993</v>
      </c>
      <c r="I1153" s="6">
        <v>34112</v>
      </c>
      <c r="M1153" s="5">
        <v>4.0999999999999996</v>
      </c>
      <c r="N1153" s="5" t="s">
        <v>65</v>
      </c>
      <c r="P1153" s="7">
        <v>35176</v>
      </c>
      <c r="Q1153" s="5">
        <v>1996</v>
      </c>
      <c r="T1153" s="5" t="s">
        <v>349</v>
      </c>
      <c r="V1153" s="5">
        <v>0</v>
      </c>
      <c r="W1153" s="14" t="s">
        <v>44</v>
      </c>
      <c r="Y1153" s="5">
        <v>101</v>
      </c>
      <c r="AC1153" s="5">
        <v>2600000000</v>
      </c>
      <c r="AD1153" s="5" t="s">
        <v>92</v>
      </c>
      <c r="AJ1153" s="5" t="s">
        <v>2789</v>
      </c>
    </row>
    <row r="1154" spans="1:36" x14ac:dyDescent="0.25">
      <c r="A1154" s="5" t="s">
        <v>784</v>
      </c>
      <c r="B1154" s="5" t="s">
        <v>1686</v>
      </c>
      <c r="C1154" s="5" t="s">
        <v>1686</v>
      </c>
      <c r="D1154" s="5" t="s">
        <v>1809</v>
      </c>
      <c r="E1154" s="5">
        <v>-19.129389</v>
      </c>
      <c r="F1154" s="5">
        <v>-47.697322</v>
      </c>
      <c r="G1154" s="5" t="s">
        <v>1810</v>
      </c>
      <c r="M1154" s="5">
        <v>4</v>
      </c>
      <c r="N1154" s="5" t="s">
        <v>808</v>
      </c>
      <c r="P1154" s="7" t="s">
        <v>1811</v>
      </c>
      <c r="Q1154" s="5">
        <v>1998</v>
      </c>
      <c r="V1154" s="5">
        <v>0</v>
      </c>
      <c r="W1154" s="5" t="s">
        <v>44</v>
      </c>
      <c r="Y1154" s="5">
        <v>142</v>
      </c>
      <c r="AC1154" s="5">
        <v>12800000000</v>
      </c>
      <c r="AD1154" s="5" t="s">
        <v>92</v>
      </c>
      <c r="AJ1154" s="5" t="s">
        <v>2192</v>
      </c>
    </row>
    <row r="1155" spans="1:36" x14ac:dyDescent="0.25">
      <c r="A1155" s="5" t="s">
        <v>172</v>
      </c>
      <c r="B1155" s="5" t="s">
        <v>1686</v>
      </c>
      <c r="C1155" s="5" t="s">
        <v>1686</v>
      </c>
      <c r="D1155" s="5" t="s">
        <v>1812</v>
      </c>
      <c r="E1155" s="5">
        <v>39.132860000000001</v>
      </c>
      <c r="F1155" s="5">
        <v>-0.65054900000000004</v>
      </c>
      <c r="G1155" s="5">
        <v>1990</v>
      </c>
      <c r="H1155" s="5">
        <v>1996</v>
      </c>
      <c r="I1155" s="6">
        <v>36161</v>
      </c>
      <c r="J1155" s="6">
        <v>36660</v>
      </c>
      <c r="L1155" s="5">
        <v>24</v>
      </c>
      <c r="M1155" s="5">
        <v>4</v>
      </c>
      <c r="N1155" s="5" t="s">
        <v>808</v>
      </c>
      <c r="P1155" s="7">
        <v>36807</v>
      </c>
      <c r="Q1155" s="5">
        <v>2000</v>
      </c>
      <c r="V1155" s="5">
        <v>0</v>
      </c>
      <c r="W1155" s="5" t="s">
        <v>1806</v>
      </c>
      <c r="Y1155" s="5">
        <v>102.5</v>
      </c>
      <c r="Z1155" s="5">
        <v>9.8000000000000007</v>
      </c>
      <c r="AC1155" s="5">
        <v>700000000</v>
      </c>
      <c r="AD1155" s="5" t="s">
        <v>92</v>
      </c>
      <c r="AJ1155" s="5" t="s">
        <v>1813</v>
      </c>
    </row>
    <row r="1156" spans="1:36" x14ac:dyDescent="0.25">
      <c r="A1156" s="5" t="s">
        <v>153</v>
      </c>
      <c r="B1156" s="5" t="s">
        <v>1686</v>
      </c>
      <c r="C1156" s="5" t="s">
        <v>1686</v>
      </c>
      <c r="D1156" s="5" t="s">
        <v>2790</v>
      </c>
      <c r="E1156" s="5">
        <v>25.9657866815955</v>
      </c>
      <c r="F1156" s="5">
        <v>105.25348063749099</v>
      </c>
      <c r="I1156" s="6" t="s">
        <v>2791</v>
      </c>
      <c r="J1156" s="6"/>
      <c r="M1156" s="5">
        <v>4</v>
      </c>
      <c r="N1156" s="5" t="s">
        <v>65</v>
      </c>
      <c r="P1156" s="7">
        <v>40009</v>
      </c>
      <c r="Q1156" s="5">
        <v>2009</v>
      </c>
      <c r="T1156" s="5" t="s">
        <v>2158</v>
      </c>
      <c r="V1156" s="5">
        <v>0</v>
      </c>
      <c r="W1156" s="5" t="s">
        <v>44</v>
      </c>
      <c r="Y1156" s="5">
        <v>200.5</v>
      </c>
      <c r="AC1156" s="5">
        <v>3135000000</v>
      </c>
      <c r="AD1156" s="5" t="s">
        <v>92</v>
      </c>
      <c r="AJ1156" s="5" t="s">
        <v>2792</v>
      </c>
    </row>
    <row r="1157" spans="1:36" x14ac:dyDescent="0.25">
      <c r="A1157" s="5" t="s">
        <v>153</v>
      </c>
      <c r="B1157" s="5" t="s">
        <v>1686</v>
      </c>
      <c r="C1157" s="5" t="s">
        <v>1686</v>
      </c>
      <c r="D1157" s="5" t="s">
        <v>2793</v>
      </c>
      <c r="E1157" s="5">
        <v>24.941934</v>
      </c>
      <c r="F1157" s="5">
        <v>105.105131</v>
      </c>
      <c r="I1157" s="6" t="s">
        <v>2794</v>
      </c>
      <c r="J1157" s="6"/>
      <c r="M1157" s="5">
        <v>4</v>
      </c>
      <c r="N1157" s="5" t="s">
        <v>65</v>
      </c>
      <c r="P1157" s="7">
        <v>36751</v>
      </c>
      <c r="Q1157" s="5">
        <v>2000</v>
      </c>
      <c r="T1157" s="5" t="s">
        <v>2158</v>
      </c>
      <c r="V1157" s="5">
        <v>0</v>
      </c>
      <c r="W1157" s="5" t="s">
        <v>44</v>
      </c>
      <c r="Y1157" s="5">
        <v>178</v>
      </c>
      <c r="AC1157" s="5">
        <f>10.257*10^9</f>
        <v>10257000000</v>
      </c>
      <c r="AD1157" s="5" t="s">
        <v>92</v>
      </c>
      <c r="AJ1157" s="5" t="s">
        <v>2795</v>
      </c>
    </row>
    <row r="1158" spans="1:36" x14ac:dyDescent="0.25">
      <c r="A1158" s="5" t="s">
        <v>153</v>
      </c>
      <c r="B1158" s="5" t="s">
        <v>1686</v>
      </c>
      <c r="C1158" s="5" t="s">
        <v>1686</v>
      </c>
      <c r="D1158" s="5" t="s">
        <v>1873</v>
      </c>
      <c r="E1158" s="5">
        <v>27.319998999999999</v>
      </c>
      <c r="F1158" s="5">
        <v>106.760875</v>
      </c>
      <c r="G1158" s="5">
        <v>1979</v>
      </c>
      <c r="I1158" s="5" t="s">
        <v>606</v>
      </c>
      <c r="M1158" s="5">
        <v>4</v>
      </c>
      <c r="P1158" s="7">
        <v>33744</v>
      </c>
      <c r="Q1158" s="5">
        <v>1992</v>
      </c>
      <c r="T1158" s="5" t="s">
        <v>2796</v>
      </c>
      <c r="V1158" s="5">
        <v>0</v>
      </c>
      <c r="W1158" s="14" t="s">
        <v>44</v>
      </c>
      <c r="Y1158" s="5">
        <v>165</v>
      </c>
      <c r="AC1158" s="5">
        <f>2.3*10^9</f>
        <v>2300000000</v>
      </c>
      <c r="AD1158" s="5" t="s">
        <v>92</v>
      </c>
      <c r="AJ1158" s="5" t="s">
        <v>2797</v>
      </c>
    </row>
    <row r="1159" spans="1:36" x14ac:dyDescent="0.25">
      <c r="A1159" s="5" t="s">
        <v>51</v>
      </c>
      <c r="B1159" s="5" t="s">
        <v>1686</v>
      </c>
      <c r="C1159" s="5" t="s">
        <v>1686</v>
      </c>
      <c r="D1159" s="5" t="s">
        <v>1818</v>
      </c>
      <c r="E1159" s="5">
        <v>34.960397</v>
      </c>
      <c r="F1159" s="5">
        <v>-82.918126000000001</v>
      </c>
      <c r="G1159" s="5">
        <v>1971</v>
      </c>
      <c r="I1159" s="6">
        <v>27685</v>
      </c>
      <c r="M1159" s="5">
        <v>3.9</v>
      </c>
      <c r="N1159" s="5" t="s">
        <v>65</v>
      </c>
      <c r="P1159" s="7">
        <v>29092</v>
      </c>
      <c r="Q1159" s="5">
        <v>1979</v>
      </c>
      <c r="U1159" s="5" t="s">
        <v>1819</v>
      </c>
      <c r="V1159" s="5">
        <v>0</v>
      </c>
      <c r="W1159" s="5" t="s">
        <v>44</v>
      </c>
      <c r="X1159" s="5" t="s">
        <v>1820</v>
      </c>
      <c r="Y1159" s="5">
        <v>107</v>
      </c>
      <c r="Z1159" s="5">
        <v>30</v>
      </c>
      <c r="AC1159" s="5">
        <v>1431000000</v>
      </c>
      <c r="AD1159" s="5" t="s">
        <v>92</v>
      </c>
      <c r="AJ1159" s="5" t="s">
        <v>1821</v>
      </c>
    </row>
    <row r="1160" spans="1:36" x14ac:dyDescent="0.25">
      <c r="A1160" s="5" t="s">
        <v>1814</v>
      </c>
      <c r="B1160" s="5" t="s">
        <v>1686</v>
      </c>
      <c r="C1160" s="5" t="s">
        <v>1686</v>
      </c>
      <c r="D1160" s="5" t="s">
        <v>1815</v>
      </c>
      <c r="E1160" s="5">
        <v>-27.482194</v>
      </c>
      <c r="F1160" s="5">
        <v>-56.729427999999999</v>
      </c>
      <c r="M1160" s="5">
        <v>3.9</v>
      </c>
      <c r="N1160" s="5" t="s">
        <v>1816</v>
      </c>
      <c r="P1160" s="7">
        <v>36644</v>
      </c>
      <c r="Q1160" s="5">
        <v>2000</v>
      </c>
      <c r="V1160" s="5">
        <v>0</v>
      </c>
      <c r="W1160" s="5" t="s">
        <v>44</v>
      </c>
      <c r="AJ1160" s="5" t="s">
        <v>1817</v>
      </c>
    </row>
    <row r="1161" spans="1:36" x14ac:dyDescent="0.25">
      <c r="A1161" s="5" t="s">
        <v>34</v>
      </c>
      <c r="B1161" s="5" t="s">
        <v>1686</v>
      </c>
      <c r="C1161" s="5" t="s">
        <v>1824</v>
      </c>
      <c r="D1161" s="5" t="s">
        <v>1825</v>
      </c>
      <c r="E1161" s="5">
        <v>36.374526000000003</v>
      </c>
      <c r="F1161" s="5">
        <v>6.308338</v>
      </c>
      <c r="G1161" s="6">
        <v>39407</v>
      </c>
      <c r="H1161" s="6">
        <v>39427</v>
      </c>
      <c r="I1161" s="6">
        <v>39416</v>
      </c>
      <c r="J1161" s="6">
        <v>39447</v>
      </c>
      <c r="L1161" s="5" t="s">
        <v>1826</v>
      </c>
      <c r="M1161" s="5">
        <v>3.9</v>
      </c>
      <c r="N1161" s="5" t="s">
        <v>535</v>
      </c>
      <c r="O1161" s="5">
        <v>9812</v>
      </c>
      <c r="P1161" s="7">
        <v>39434</v>
      </c>
      <c r="Q1161" s="5">
        <v>2007</v>
      </c>
      <c r="S1161" s="5">
        <v>7000</v>
      </c>
      <c r="U1161" s="5" t="s">
        <v>1827</v>
      </c>
      <c r="V1161" s="5">
        <v>375</v>
      </c>
      <c r="W1161" s="5" t="s">
        <v>44</v>
      </c>
      <c r="AA1161" s="5">
        <v>4456</v>
      </c>
      <c r="AB1161" s="5" t="s">
        <v>118</v>
      </c>
      <c r="AI1161" s="5" t="s">
        <v>1828</v>
      </c>
      <c r="AJ1161" s="5" t="s">
        <v>1829</v>
      </c>
    </row>
    <row r="1162" spans="1:36" x14ac:dyDescent="0.25">
      <c r="A1162" s="5" t="s">
        <v>153</v>
      </c>
      <c r="B1162" s="5" t="s">
        <v>1686</v>
      </c>
      <c r="C1162" s="5" t="s">
        <v>1686</v>
      </c>
      <c r="D1162" s="5" t="s">
        <v>2798</v>
      </c>
      <c r="E1162" s="5">
        <v>24.704404</v>
      </c>
      <c r="F1162" s="5">
        <v>100.09117000000001</v>
      </c>
      <c r="G1162" s="6">
        <v>39798</v>
      </c>
      <c r="I1162" s="6">
        <v>40374</v>
      </c>
      <c r="L1162" s="5">
        <v>24713</v>
      </c>
      <c r="M1162" s="5">
        <v>3.9</v>
      </c>
      <c r="N1162" s="5" t="s">
        <v>65</v>
      </c>
      <c r="P1162" s="7">
        <v>41167</v>
      </c>
      <c r="Q1162" s="5">
        <v>2012</v>
      </c>
      <c r="T1162" s="5" t="s">
        <v>2799</v>
      </c>
      <c r="V1162" s="5">
        <v>0</v>
      </c>
      <c r="W1162" s="5" t="s">
        <v>103</v>
      </c>
      <c r="X1162" s="5" t="s">
        <v>1822</v>
      </c>
      <c r="Y1162" s="5">
        <v>292</v>
      </c>
      <c r="AC1162" s="5">
        <v>14900000000</v>
      </c>
      <c r="AD1162" s="5" t="s">
        <v>92</v>
      </c>
      <c r="AI1162" s="5" t="s">
        <v>1823</v>
      </c>
      <c r="AJ1162" s="5" t="s">
        <v>2800</v>
      </c>
    </row>
    <row r="1163" spans="1:36" x14ac:dyDescent="0.25">
      <c r="A1163" s="5" t="s">
        <v>51</v>
      </c>
      <c r="B1163" s="5" t="s">
        <v>1686</v>
      </c>
      <c r="C1163" s="5" t="s">
        <v>1686</v>
      </c>
      <c r="D1163" s="5" t="s">
        <v>1830</v>
      </c>
      <c r="E1163" s="5">
        <v>34.799616999999998</v>
      </c>
      <c r="F1163" s="5">
        <v>-82.888801999999998</v>
      </c>
      <c r="M1163" s="5">
        <v>3.8</v>
      </c>
      <c r="P1163" s="7">
        <v>26127</v>
      </c>
      <c r="Q1163" s="5">
        <v>1971</v>
      </c>
      <c r="V1163" s="5">
        <v>0</v>
      </c>
      <c r="W1163" s="5" t="s">
        <v>44</v>
      </c>
      <c r="Z1163" s="14"/>
      <c r="AJ1163" s="5" t="s">
        <v>1804</v>
      </c>
    </row>
    <row r="1164" spans="1:36" x14ac:dyDescent="0.25">
      <c r="A1164" s="5" t="s">
        <v>1082</v>
      </c>
      <c r="B1164" s="5" t="s">
        <v>1686</v>
      </c>
      <c r="C1164" s="5" t="s">
        <v>1686</v>
      </c>
      <c r="D1164" s="5" t="s">
        <v>2614</v>
      </c>
      <c r="E1164" s="5">
        <v>19.923786</v>
      </c>
      <c r="F1164" s="5">
        <v>73.058857000000003</v>
      </c>
      <c r="G1164" s="5">
        <v>1983</v>
      </c>
      <c r="M1164" s="5">
        <v>3.8</v>
      </c>
      <c r="N1164" s="5" t="s">
        <v>65</v>
      </c>
      <c r="O1164" s="5">
        <v>1500</v>
      </c>
      <c r="P1164" s="5">
        <v>1994</v>
      </c>
      <c r="Q1164" s="5">
        <v>1994</v>
      </c>
      <c r="V1164" s="5">
        <v>0</v>
      </c>
      <c r="W1164" s="5" t="s">
        <v>73</v>
      </c>
      <c r="Y1164" s="5">
        <v>59</v>
      </c>
      <c r="AC1164" s="5">
        <v>285000000</v>
      </c>
      <c r="AD1164" s="5" t="s">
        <v>92</v>
      </c>
      <c r="AJ1164" s="5" t="s">
        <v>1708</v>
      </c>
    </row>
    <row r="1165" spans="1:36" x14ac:dyDescent="0.25">
      <c r="A1165" s="5" t="s">
        <v>153</v>
      </c>
      <c r="B1165" s="5" t="s">
        <v>1686</v>
      </c>
      <c r="C1165" s="5" t="s">
        <v>1686</v>
      </c>
      <c r="D1165" s="5" t="s">
        <v>2801</v>
      </c>
      <c r="M1165" s="5">
        <v>3.8</v>
      </c>
      <c r="P1165" s="5" t="s">
        <v>2802</v>
      </c>
      <c r="Q1165" s="5">
        <v>2006</v>
      </c>
      <c r="T1165" s="5" t="s">
        <v>2803</v>
      </c>
      <c r="V1165" s="5">
        <v>0</v>
      </c>
      <c r="W1165" s="5" t="s">
        <v>44</v>
      </c>
      <c r="Y1165" s="5">
        <v>108</v>
      </c>
      <c r="AC1165" s="5">
        <v>1961000000</v>
      </c>
      <c r="AD1165" s="5" t="s">
        <v>92</v>
      </c>
      <c r="AJ1165" s="5" t="s">
        <v>2804</v>
      </c>
    </row>
    <row r="1166" spans="1:36" x14ac:dyDescent="0.25">
      <c r="A1166" s="5" t="s">
        <v>123</v>
      </c>
      <c r="B1166" s="5" t="s">
        <v>1686</v>
      </c>
      <c r="C1166" s="5" t="s">
        <v>1686</v>
      </c>
      <c r="D1166" s="14" t="s">
        <v>2068</v>
      </c>
      <c r="E1166" s="5">
        <v>49.321178000000003</v>
      </c>
      <c r="F1166" s="5">
        <v>-68.346818999999996</v>
      </c>
      <c r="G1166" s="5" t="s">
        <v>2069</v>
      </c>
      <c r="H1166" s="5" t="s">
        <v>2070</v>
      </c>
      <c r="L1166" s="5" t="s">
        <v>2377</v>
      </c>
      <c r="M1166" s="5">
        <v>3.7</v>
      </c>
      <c r="N1166" s="5" t="s">
        <v>65</v>
      </c>
      <c r="P1166" s="5">
        <v>1965</v>
      </c>
      <c r="Q1166" s="5">
        <v>1965</v>
      </c>
      <c r="V1166" s="5">
        <v>0</v>
      </c>
      <c r="W1166" s="14" t="s">
        <v>44</v>
      </c>
      <c r="Y1166" s="5">
        <v>90</v>
      </c>
      <c r="Z1166" s="5">
        <v>119</v>
      </c>
      <c r="AC1166" s="5">
        <f>0.34*10^9</f>
        <v>340000000</v>
      </c>
      <c r="AD1166" s="5" t="s">
        <v>92</v>
      </c>
      <c r="AJ1166" s="5" t="s">
        <v>2071</v>
      </c>
    </row>
    <row r="1167" spans="1:36" x14ac:dyDescent="0.25">
      <c r="A1167" s="5" t="s">
        <v>51</v>
      </c>
      <c r="B1167" s="5" t="s">
        <v>1686</v>
      </c>
      <c r="C1167" s="5" t="s">
        <v>1686</v>
      </c>
      <c r="D1167" s="5" t="s">
        <v>1832</v>
      </c>
      <c r="E1167" s="5">
        <v>43.332486000000003</v>
      </c>
      <c r="F1167" s="5">
        <v>-111.20276200000001</v>
      </c>
      <c r="G1167" s="5">
        <v>1957</v>
      </c>
      <c r="M1167" s="5">
        <v>3.7</v>
      </c>
      <c r="P1167" s="7">
        <v>24268</v>
      </c>
      <c r="Q1167" s="5">
        <v>1966</v>
      </c>
      <c r="V1167" s="5">
        <v>0</v>
      </c>
      <c r="W1167" s="5" t="s">
        <v>44</v>
      </c>
      <c r="Y1167" s="5">
        <v>82</v>
      </c>
      <c r="Z1167" s="14"/>
      <c r="AC1167" s="5">
        <v>1500000000</v>
      </c>
      <c r="AD1167" s="5" t="s">
        <v>92</v>
      </c>
      <c r="AJ1167" s="5" t="s">
        <v>1804</v>
      </c>
    </row>
    <row r="1168" spans="1:36" x14ac:dyDescent="0.25">
      <c r="A1168" s="5" t="s">
        <v>784</v>
      </c>
      <c r="B1168" s="5" t="s">
        <v>1686</v>
      </c>
      <c r="C1168" s="5" t="s">
        <v>1686</v>
      </c>
      <c r="D1168" s="5" t="s">
        <v>1833</v>
      </c>
      <c r="E1168" s="5">
        <v>-20.238527000000001</v>
      </c>
      <c r="F1168" s="5">
        <v>-44.754215000000002</v>
      </c>
      <c r="G1168" s="5">
        <v>1954</v>
      </c>
      <c r="M1168" s="5">
        <v>3.7</v>
      </c>
      <c r="P1168" s="7">
        <v>26321</v>
      </c>
      <c r="Q1168" s="5">
        <v>1972</v>
      </c>
      <c r="V1168" s="5">
        <v>0</v>
      </c>
      <c r="W1168" s="5" t="s">
        <v>44</v>
      </c>
      <c r="Y1168" s="5">
        <v>23</v>
      </c>
      <c r="AC1168" s="5">
        <v>192000000</v>
      </c>
      <c r="AD1168" s="5" t="s">
        <v>92</v>
      </c>
      <c r="AJ1168" s="5" t="s">
        <v>2188</v>
      </c>
    </row>
    <row r="1169" spans="1:36" x14ac:dyDescent="0.25">
      <c r="A1169" s="5" t="s">
        <v>784</v>
      </c>
      <c r="B1169" s="5" t="s">
        <v>1686</v>
      </c>
      <c r="C1169" s="5" t="s">
        <v>1686</v>
      </c>
      <c r="D1169" s="5" t="s">
        <v>1831</v>
      </c>
      <c r="E1169" s="5">
        <v>-22.658726000000001</v>
      </c>
      <c r="F1169" s="5">
        <v>-51.358032000000001</v>
      </c>
      <c r="G1169" s="5" t="s">
        <v>1000</v>
      </c>
      <c r="M1169" s="5">
        <v>3.7</v>
      </c>
      <c r="P1169" s="7">
        <v>28941</v>
      </c>
      <c r="Q1169" s="5">
        <v>1979</v>
      </c>
      <c r="V1169" s="5">
        <v>0</v>
      </c>
      <c r="W1169" s="5" t="s">
        <v>44</v>
      </c>
      <c r="Y1169" s="5">
        <v>60</v>
      </c>
      <c r="AC1169" s="5">
        <v>10500000000</v>
      </c>
      <c r="AD1169" s="5" t="s">
        <v>92</v>
      </c>
      <c r="AJ1169" s="5" t="s">
        <v>2193</v>
      </c>
    </row>
    <row r="1170" spans="1:36" x14ac:dyDescent="0.25">
      <c r="A1170" s="5" t="s">
        <v>123</v>
      </c>
      <c r="B1170" s="5" t="s">
        <v>1686</v>
      </c>
      <c r="C1170" s="5" t="s">
        <v>1686</v>
      </c>
      <c r="D1170" s="5" t="s">
        <v>1834</v>
      </c>
      <c r="E1170" s="5">
        <v>53.728662</v>
      </c>
      <c r="F1170" s="5">
        <v>-75.96696</v>
      </c>
      <c r="G1170" s="5" t="s">
        <v>2066</v>
      </c>
      <c r="H1170" s="5" t="s">
        <v>752</v>
      </c>
      <c r="M1170" s="5">
        <v>3.7</v>
      </c>
      <c r="N1170" s="5" t="s">
        <v>65</v>
      </c>
      <c r="O1170" s="5">
        <v>8000</v>
      </c>
      <c r="P1170" s="5">
        <v>1983</v>
      </c>
      <c r="Q1170" s="5">
        <v>1983</v>
      </c>
      <c r="V1170" s="5">
        <v>0</v>
      </c>
      <c r="W1170" s="5" t="s">
        <v>44</v>
      </c>
      <c r="Y1170" s="5">
        <v>80</v>
      </c>
      <c r="Z1170" s="5">
        <v>2420</v>
      </c>
      <c r="AC1170" s="5">
        <v>30000000000</v>
      </c>
      <c r="AD1170" s="5" t="s">
        <v>92</v>
      </c>
      <c r="AJ1170" s="5" t="s">
        <v>2067</v>
      </c>
    </row>
    <row r="1171" spans="1:36" x14ac:dyDescent="0.25">
      <c r="A1171" s="5" t="s">
        <v>153</v>
      </c>
      <c r="B1171" s="5" t="s">
        <v>1686</v>
      </c>
      <c r="C1171" s="5" t="s">
        <v>1686</v>
      </c>
      <c r="D1171" s="5" t="s">
        <v>1840</v>
      </c>
      <c r="E1171" s="5">
        <v>36.379750999999999</v>
      </c>
      <c r="F1171" s="5">
        <v>102.353784</v>
      </c>
      <c r="G1171" s="5">
        <v>1980</v>
      </c>
      <c r="I1171" s="5" t="s">
        <v>2805</v>
      </c>
      <c r="M1171" s="5">
        <v>3.6</v>
      </c>
      <c r="N1171" s="5" t="s">
        <v>1691</v>
      </c>
      <c r="O1171" s="5" t="s">
        <v>175</v>
      </c>
      <c r="P1171" s="7">
        <v>30748</v>
      </c>
      <c r="Q1171" s="5">
        <v>1984</v>
      </c>
      <c r="T1171" s="5" t="s">
        <v>2742</v>
      </c>
      <c r="V1171" s="5">
        <v>0</v>
      </c>
      <c r="W1171" s="5" t="s">
        <v>44</v>
      </c>
      <c r="Y1171" s="5">
        <v>35</v>
      </c>
      <c r="AC1171" s="5">
        <v>4500000</v>
      </c>
      <c r="AD1171" s="5" t="s">
        <v>92</v>
      </c>
      <c r="AJ1171" s="5" t="s">
        <v>2806</v>
      </c>
    </row>
    <row r="1172" spans="1:36" x14ac:dyDescent="0.25">
      <c r="A1172" s="5" t="s">
        <v>784</v>
      </c>
      <c r="B1172" s="5" t="s">
        <v>1686</v>
      </c>
      <c r="C1172" s="5" t="s">
        <v>1686</v>
      </c>
      <c r="D1172" s="5" t="s">
        <v>2378</v>
      </c>
      <c r="E1172" s="5">
        <v>-3.8321879999999999</v>
      </c>
      <c r="F1172" s="5">
        <v>-49.645648000000001</v>
      </c>
      <c r="G1172" s="5" t="s">
        <v>1321</v>
      </c>
      <c r="M1172" s="5">
        <v>3.6</v>
      </c>
      <c r="P1172" s="7">
        <v>35856</v>
      </c>
      <c r="Q1172" s="5">
        <v>1998</v>
      </c>
      <c r="V1172" s="5">
        <v>0</v>
      </c>
      <c r="W1172" s="5" t="s">
        <v>44</v>
      </c>
      <c r="Y1172" s="5">
        <v>106</v>
      </c>
      <c r="AC1172" s="5">
        <v>45800000000</v>
      </c>
      <c r="AD1172" s="5" t="s">
        <v>92</v>
      </c>
      <c r="AJ1172" s="5" t="s">
        <v>2194</v>
      </c>
    </row>
    <row r="1173" spans="1:36" x14ac:dyDescent="0.25">
      <c r="A1173" s="5" t="s">
        <v>153</v>
      </c>
      <c r="B1173" s="5" t="s">
        <v>1686</v>
      </c>
      <c r="C1173" s="5" t="s">
        <v>1686</v>
      </c>
      <c r="D1173" s="5" t="s">
        <v>2807</v>
      </c>
      <c r="E1173" s="5">
        <v>28.644718000000001</v>
      </c>
      <c r="F1173" s="5">
        <v>104.392146</v>
      </c>
      <c r="M1173" s="5">
        <v>3.6</v>
      </c>
      <c r="N1173" s="5" t="s">
        <v>65</v>
      </c>
      <c r="P1173" s="5" t="s">
        <v>237</v>
      </c>
      <c r="Q1173" s="5">
        <v>2013</v>
      </c>
      <c r="T1173" s="5" t="s">
        <v>2749</v>
      </c>
      <c r="V1173" s="5">
        <v>0</v>
      </c>
      <c r="W1173" s="5" t="s">
        <v>44</v>
      </c>
      <c r="Y1173" s="5">
        <v>162</v>
      </c>
      <c r="AC1173" s="5">
        <f>0.5185*10^9</f>
        <v>518499999.99999994</v>
      </c>
      <c r="AD1173" s="5" t="s">
        <v>92</v>
      </c>
      <c r="AJ1173" s="5" t="s">
        <v>2808</v>
      </c>
    </row>
    <row r="1174" spans="1:36" x14ac:dyDescent="0.25">
      <c r="A1174" s="5" t="s">
        <v>153</v>
      </c>
      <c r="B1174" s="5" t="s">
        <v>1686</v>
      </c>
      <c r="C1174" s="5" t="s">
        <v>1686</v>
      </c>
      <c r="D1174" s="5" t="s">
        <v>2809</v>
      </c>
      <c r="E1174" s="5">
        <v>34.923555</v>
      </c>
      <c r="F1174" s="5">
        <v>112.364012</v>
      </c>
      <c r="M1174" s="5">
        <v>3.6</v>
      </c>
      <c r="P1174" s="7">
        <v>37780</v>
      </c>
      <c r="Q1174" s="5">
        <v>2003</v>
      </c>
      <c r="T1174" s="5" t="s">
        <v>2810</v>
      </c>
      <c r="V1174" s="5">
        <v>0</v>
      </c>
      <c r="W1174" s="5" t="s">
        <v>44</v>
      </c>
      <c r="Y1174" s="5">
        <v>154</v>
      </c>
      <c r="AC1174" s="5">
        <v>12750000000</v>
      </c>
      <c r="AD1174" s="5" t="s">
        <v>92</v>
      </c>
      <c r="AJ1174" s="5" t="s">
        <v>2811</v>
      </c>
    </row>
    <row r="1175" spans="1:36" x14ac:dyDescent="0.25">
      <c r="A1175" s="5" t="s">
        <v>153</v>
      </c>
      <c r="B1175" s="5" t="s">
        <v>1686</v>
      </c>
      <c r="C1175" s="5" t="s">
        <v>1686</v>
      </c>
      <c r="D1175" s="5" t="s">
        <v>2812</v>
      </c>
      <c r="I1175" s="5" t="s">
        <v>2813</v>
      </c>
      <c r="M1175" s="5">
        <v>3.6</v>
      </c>
      <c r="P1175" s="7">
        <v>39166</v>
      </c>
      <c r="Q1175" s="5">
        <v>2007</v>
      </c>
      <c r="T1175" s="5" t="s">
        <v>2158</v>
      </c>
      <c r="V1175" s="5">
        <v>0</v>
      </c>
      <c r="W1175" s="5" t="s">
        <v>44</v>
      </c>
      <c r="Y1175" s="5">
        <v>96.5</v>
      </c>
      <c r="AC1175" s="5">
        <v>374000000</v>
      </c>
      <c r="AD1175" s="5" t="s">
        <v>92</v>
      </c>
      <c r="AJ1175" s="5" t="s">
        <v>2814</v>
      </c>
    </row>
    <row r="1176" spans="1:36" x14ac:dyDescent="0.25">
      <c r="A1176" s="5" t="s">
        <v>561</v>
      </c>
      <c r="B1176" s="5" t="s">
        <v>1686</v>
      </c>
      <c r="C1176" s="5" t="s">
        <v>1686</v>
      </c>
      <c r="D1176" s="5" t="s">
        <v>1843</v>
      </c>
      <c r="E1176" s="5">
        <v>46.141001000000003</v>
      </c>
      <c r="F1176" s="5">
        <v>6.9670719999999999</v>
      </c>
      <c r="M1176" s="5">
        <v>3.5</v>
      </c>
      <c r="N1176" s="5" t="s">
        <v>40</v>
      </c>
      <c r="P1176" s="7">
        <v>19649</v>
      </c>
      <c r="Q1176" s="5">
        <v>1953</v>
      </c>
      <c r="V1176" s="5">
        <v>0</v>
      </c>
      <c r="W1176" s="5" t="s">
        <v>44</v>
      </c>
      <c r="AJ1176" s="5" t="s">
        <v>2379</v>
      </c>
    </row>
    <row r="1177" spans="1:36" x14ac:dyDescent="0.25">
      <c r="A1177" s="5" t="s">
        <v>550</v>
      </c>
      <c r="B1177" s="5" t="s">
        <v>1686</v>
      </c>
      <c r="C1177" s="5" t="s">
        <v>1686</v>
      </c>
      <c r="D1177" s="5" t="s">
        <v>1859</v>
      </c>
      <c r="E1177" s="5">
        <v>-35.401066999999998</v>
      </c>
      <c r="F1177" s="5">
        <v>148.24714599999999</v>
      </c>
      <c r="G1177" s="5">
        <v>1968</v>
      </c>
      <c r="M1177" s="5">
        <v>3.5</v>
      </c>
      <c r="O1177" s="6"/>
      <c r="P1177" s="7">
        <v>26670</v>
      </c>
      <c r="Q1177" s="5">
        <v>1973</v>
      </c>
      <c r="V1177" s="5">
        <v>0</v>
      </c>
      <c r="W1177" s="5" t="s">
        <v>44</v>
      </c>
      <c r="Y1177" s="5">
        <v>112</v>
      </c>
      <c r="Z1177" s="14">
        <v>44.5</v>
      </c>
      <c r="AC1177" s="5">
        <v>1628000000</v>
      </c>
      <c r="AD1177" s="5" t="s">
        <v>92</v>
      </c>
      <c r="AJ1177" s="5" t="s">
        <v>1702</v>
      </c>
    </row>
    <row r="1178" spans="1:36" x14ac:dyDescent="0.25">
      <c r="A1178" s="5" t="s">
        <v>550</v>
      </c>
      <c r="B1178" s="5" t="s">
        <v>1686</v>
      </c>
      <c r="C1178" s="5" t="s">
        <v>1686</v>
      </c>
      <c r="D1178" s="5" t="s">
        <v>1860</v>
      </c>
      <c r="E1178" s="5">
        <v>-35.624661000000003</v>
      </c>
      <c r="F1178" s="5">
        <v>148.303291</v>
      </c>
      <c r="G1178" s="5">
        <v>1971</v>
      </c>
      <c r="M1178" s="5">
        <v>3.5</v>
      </c>
      <c r="P1178" s="7">
        <v>26670</v>
      </c>
      <c r="Q1178" s="5">
        <v>1973</v>
      </c>
      <c r="V1178" s="5">
        <v>0</v>
      </c>
      <c r="W1178" s="5" t="s">
        <v>44</v>
      </c>
      <c r="Y1178" s="5">
        <v>162</v>
      </c>
      <c r="Z1178" s="14">
        <v>19.5</v>
      </c>
      <c r="AC1178" s="5">
        <v>935000000</v>
      </c>
      <c r="AD1178" s="5" t="s">
        <v>92</v>
      </c>
      <c r="AJ1178" s="5" t="s">
        <v>1702</v>
      </c>
    </row>
    <row r="1179" spans="1:36" x14ac:dyDescent="0.25">
      <c r="A1179" s="5" t="s">
        <v>758</v>
      </c>
      <c r="B1179" s="5" t="s">
        <v>1686</v>
      </c>
      <c r="C1179" s="5" t="s">
        <v>1686</v>
      </c>
      <c r="D1179" s="5" t="s">
        <v>1862</v>
      </c>
      <c r="E1179" s="5">
        <v>38.807020000000001</v>
      </c>
      <c r="F1179" s="5">
        <v>38.753113999999997</v>
      </c>
      <c r="G1179" s="5">
        <v>1973</v>
      </c>
      <c r="M1179" s="5">
        <v>3.5</v>
      </c>
      <c r="P1179" s="5">
        <v>1973</v>
      </c>
      <c r="Q1179" s="5">
        <v>1973</v>
      </c>
      <c r="V1179" s="5">
        <v>0</v>
      </c>
      <c r="W1179" s="5" t="s">
        <v>1482</v>
      </c>
      <c r="Y1179" s="5">
        <v>212</v>
      </c>
      <c r="Z1179" s="14">
        <v>675</v>
      </c>
      <c r="AC1179" s="5">
        <v>31000000000</v>
      </c>
      <c r="AD1179" s="5" t="s">
        <v>92</v>
      </c>
      <c r="AJ1179" s="5" t="s">
        <v>1714</v>
      </c>
    </row>
    <row r="1180" spans="1:36" x14ac:dyDescent="0.25">
      <c r="A1180" s="5" t="s">
        <v>561</v>
      </c>
      <c r="B1180" s="5" t="s">
        <v>1686</v>
      </c>
      <c r="C1180" s="5" t="s">
        <v>1686</v>
      </c>
      <c r="D1180" s="5" t="s">
        <v>1864</v>
      </c>
      <c r="E1180" s="5">
        <v>46.067452000000003</v>
      </c>
      <c r="F1180" s="5">
        <v>6.9320430000000002</v>
      </c>
      <c r="G1180" s="5">
        <v>1973</v>
      </c>
      <c r="M1180" s="5">
        <v>3.5</v>
      </c>
      <c r="N1180" s="5" t="s">
        <v>65</v>
      </c>
      <c r="O1180" s="5">
        <v>5000</v>
      </c>
      <c r="P1180" s="5">
        <v>1974</v>
      </c>
      <c r="Q1180" s="5">
        <v>1974</v>
      </c>
      <c r="V1180" s="5">
        <v>0</v>
      </c>
      <c r="W1180" s="5" t="s">
        <v>44</v>
      </c>
      <c r="Y1180" s="5">
        <v>180</v>
      </c>
      <c r="Z1180" s="14">
        <v>2.7</v>
      </c>
      <c r="AC1180" s="5">
        <v>225000000</v>
      </c>
      <c r="AD1180" s="5" t="s">
        <v>92</v>
      </c>
      <c r="AJ1180" s="5" t="s">
        <v>1708</v>
      </c>
    </row>
    <row r="1181" spans="1:36" x14ac:dyDescent="0.25">
      <c r="A1181" s="5" t="s">
        <v>1082</v>
      </c>
      <c r="B1181" s="5" t="s">
        <v>1686</v>
      </c>
      <c r="C1181" s="5" t="s">
        <v>1686</v>
      </c>
      <c r="D1181" s="5" t="s">
        <v>1861</v>
      </c>
      <c r="E1181" s="5">
        <v>9.8431289999999994</v>
      </c>
      <c r="F1181" s="5">
        <v>76.976384999999993</v>
      </c>
      <c r="G1181" s="5">
        <v>1975</v>
      </c>
      <c r="M1181" s="5">
        <v>3.5</v>
      </c>
      <c r="P1181" s="7">
        <v>28308</v>
      </c>
      <c r="Q1181" s="5">
        <v>1977</v>
      </c>
      <c r="V1181" s="5">
        <v>0</v>
      </c>
      <c r="W1181" s="5" t="s">
        <v>73</v>
      </c>
      <c r="Y1181" s="5">
        <v>169</v>
      </c>
      <c r="Z1181" s="14">
        <v>60</v>
      </c>
      <c r="AC1181" s="5">
        <v>1996000000</v>
      </c>
      <c r="AD1181" s="5" t="s">
        <v>92</v>
      </c>
      <c r="AJ1181" s="5" t="s">
        <v>1702</v>
      </c>
    </row>
    <row r="1182" spans="1:36" x14ac:dyDescent="0.25">
      <c r="A1182" s="5" t="s">
        <v>1082</v>
      </c>
      <c r="B1182" s="5" t="s">
        <v>1686</v>
      </c>
      <c r="C1182" s="5" t="s">
        <v>1686</v>
      </c>
      <c r="D1182" s="5" t="s">
        <v>1865</v>
      </c>
      <c r="E1182" s="5">
        <v>17.379196</v>
      </c>
      <c r="F1182" s="5">
        <v>78.316592</v>
      </c>
      <c r="G1182" s="5">
        <v>1920</v>
      </c>
      <c r="M1182" s="5">
        <v>3.5</v>
      </c>
      <c r="N1182" s="5" t="s">
        <v>65</v>
      </c>
      <c r="O1182" s="5">
        <v>1500</v>
      </c>
      <c r="P1182" s="5">
        <v>1982</v>
      </c>
      <c r="Q1182" s="5">
        <v>1982</v>
      </c>
      <c r="V1182" s="5">
        <v>0</v>
      </c>
      <c r="W1182" s="5" t="s">
        <v>73</v>
      </c>
      <c r="Y1182" s="5">
        <v>36</v>
      </c>
      <c r="AC1182" s="5">
        <v>117000000</v>
      </c>
      <c r="AD1182" s="5" t="s">
        <v>92</v>
      </c>
      <c r="AJ1182" s="5" t="s">
        <v>1866</v>
      </c>
    </row>
    <row r="1183" spans="1:36" x14ac:dyDescent="0.25">
      <c r="A1183" s="5" t="s">
        <v>108</v>
      </c>
      <c r="B1183" s="5" t="s">
        <v>1686</v>
      </c>
      <c r="C1183" s="5" t="s">
        <v>1686</v>
      </c>
      <c r="D1183" s="5" t="s">
        <v>1867</v>
      </c>
      <c r="E1183" s="5">
        <v>43.872878999999998</v>
      </c>
      <c r="F1183" s="5">
        <v>11.83675</v>
      </c>
      <c r="G1183" s="5">
        <v>1981</v>
      </c>
      <c r="L1183" s="5" t="s">
        <v>1868</v>
      </c>
      <c r="M1183" s="5">
        <v>3.5</v>
      </c>
      <c r="P1183" s="5">
        <v>1988</v>
      </c>
      <c r="Q1183" s="5">
        <v>1988</v>
      </c>
      <c r="V1183" s="5">
        <v>0</v>
      </c>
      <c r="W1183" s="5" t="s">
        <v>73</v>
      </c>
      <c r="Y1183" s="5">
        <v>103</v>
      </c>
      <c r="AC1183" s="5">
        <v>33000000</v>
      </c>
      <c r="AD1183" s="5" t="s">
        <v>92</v>
      </c>
      <c r="AJ1183" s="5" t="s">
        <v>1869</v>
      </c>
    </row>
    <row r="1184" spans="1:36" x14ac:dyDescent="0.25">
      <c r="A1184" s="5" t="s">
        <v>153</v>
      </c>
      <c r="B1184" s="5" t="s">
        <v>1686</v>
      </c>
      <c r="C1184" s="5" t="s">
        <v>1686</v>
      </c>
      <c r="D1184" s="5" t="s">
        <v>1863</v>
      </c>
      <c r="E1184" s="5">
        <v>24.041383</v>
      </c>
      <c r="F1184" s="5">
        <v>107.512607</v>
      </c>
      <c r="G1184" s="5">
        <v>1992</v>
      </c>
      <c r="I1184" s="6">
        <v>33692</v>
      </c>
      <c r="M1184" s="5">
        <v>3.5</v>
      </c>
      <c r="N1184" s="5" t="s">
        <v>65</v>
      </c>
      <c r="P1184" s="7">
        <v>34506</v>
      </c>
      <c r="Q1184" s="5">
        <v>1994</v>
      </c>
      <c r="T1184" s="5" t="s">
        <v>2158</v>
      </c>
      <c r="V1184" s="5">
        <v>0</v>
      </c>
      <c r="W1184" s="14" t="s">
        <v>44</v>
      </c>
      <c r="Y1184" s="5">
        <v>111</v>
      </c>
      <c r="AC1184" s="5">
        <v>2430000000</v>
      </c>
      <c r="AD1184" s="5" t="s">
        <v>92</v>
      </c>
      <c r="AJ1184" s="5" t="s">
        <v>2779</v>
      </c>
    </row>
    <row r="1185" spans="1:36" x14ac:dyDescent="0.25">
      <c r="A1185" s="5" t="s">
        <v>842</v>
      </c>
      <c r="B1185" s="5" t="s">
        <v>1686</v>
      </c>
      <c r="C1185" s="5" t="s">
        <v>1686</v>
      </c>
      <c r="D1185" s="5" t="s">
        <v>1841</v>
      </c>
      <c r="E1185" s="5">
        <v>49.419784999999997</v>
      </c>
      <c r="F1185" s="5">
        <v>20.324127000000001</v>
      </c>
      <c r="G1185" s="5">
        <v>1995</v>
      </c>
      <c r="H1185" s="5">
        <v>1997</v>
      </c>
      <c r="I1185" s="5" t="s">
        <v>52</v>
      </c>
      <c r="K1185" s="5" t="s">
        <v>308</v>
      </c>
      <c r="M1185" s="5">
        <v>3.5</v>
      </c>
      <c r="P1185" s="7">
        <v>41334</v>
      </c>
      <c r="Q1185" s="5">
        <v>2013</v>
      </c>
      <c r="T1185" s="5" t="s">
        <v>797</v>
      </c>
      <c r="U1185" s="5" t="s">
        <v>1842</v>
      </c>
      <c r="V1185" s="5">
        <v>0</v>
      </c>
      <c r="W1185" s="14" t="s">
        <v>44</v>
      </c>
      <c r="Y1185" s="5">
        <v>56</v>
      </c>
      <c r="AC1185" s="5">
        <v>234500000</v>
      </c>
      <c r="AD1185" s="5" t="s">
        <v>92</v>
      </c>
      <c r="AJ1185" s="5" t="s">
        <v>2380</v>
      </c>
    </row>
    <row r="1186" spans="1:36" x14ac:dyDescent="0.25">
      <c r="A1186" s="5" t="s">
        <v>189</v>
      </c>
      <c r="B1186" s="5" t="s">
        <v>1686</v>
      </c>
      <c r="C1186" s="5" t="s">
        <v>1686</v>
      </c>
      <c r="D1186" s="5" t="s">
        <v>1844</v>
      </c>
      <c r="E1186" s="5">
        <v>46.454183999999998</v>
      </c>
      <c r="F1186" s="5">
        <v>1.612811</v>
      </c>
      <c r="G1186" s="5">
        <v>1926</v>
      </c>
      <c r="M1186" s="5">
        <v>3.5</v>
      </c>
      <c r="V1186" s="5">
        <v>0</v>
      </c>
      <c r="W1186" s="5" t="s">
        <v>44</v>
      </c>
      <c r="Y1186" s="5">
        <v>61</v>
      </c>
      <c r="Z1186" s="14"/>
      <c r="AJ1186" s="5" t="s">
        <v>1804</v>
      </c>
    </row>
    <row r="1187" spans="1:36" x14ac:dyDescent="0.25">
      <c r="A1187" s="5" t="s">
        <v>1082</v>
      </c>
      <c r="B1187" s="5" t="s">
        <v>1686</v>
      </c>
      <c r="C1187" s="5" t="s">
        <v>1686</v>
      </c>
      <c r="D1187" s="5" t="s">
        <v>1845</v>
      </c>
      <c r="E1187" s="5">
        <v>16.575054999999999</v>
      </c>
      <c r="F1187" s="5">
        <v>79.311333000000005</v>
      </c>
      <c r="G1187" s="5">
        <v>1967</v>
      </c>
      <c r="M1187" s="5">
        <v>3.5</v>
      </c>
      <c r="V1187" s="5">
        <v>0</v>
      </c>
      <c r="W1187" s="5" t="s">
        <v>73</v>
      </c>
      <c r="Y1187" s="5">
        <v>124</v>
      </c>
      <c r="AC1187" s="5">
        <v>11560000000</v>
      </c>
      <c r="AD1187" s="5" t="s">
        <v>92</v>
      </c>
      <c r="AJ1187" s="5" t="s">
        <v>1804</v>
      </c>
    </row>
    <row r="1188" spans="1:36" x14ac:dyDescent="0.25">
      <c r="A1188" s="5" t="s">
        <v>678</v>
      </c>
      <c r="B1188" s="5" t="s">
        <v>1686</v>
      </c>
      <c r="C1188" s="5" t="s">
        <v>1686</v>
      </c>
      <c r="D1188" s="5" t="s">
        <v>1846</v>
      </c>
      <c r="E1188" s="5">
        <v>32.206954000000003</v>
      </c>
      <c r="F1188" s="5">
        <v>131.30191300000001</v>
      </c>
      <c r="G1188" s="5" t="s">
        <v>2815</v>
      </c>
      <c r="M1188" s="5">
        <v>3.5</v>
      </c>
      <c r="V1188" s="5">
        <v>0</v>
      </c>
      <c r="W1188" s="5" t="s">
        <v>73</v>
      </c>
      <c r="Y1188" s="5">
        <v>130</v>
      </c>
      <c r="AC1188" s="5">
        <v>261315000</v>
      </c>
      <c r="AD1188" s="5" t="s">
        <v>92</v>
      </c>
      <c r="AI1188" s="10" t="s">
        <v>1847</v>
      </c>
      <c r="AJ1188" s="5" t="s">
        <v>2816</v>
      </c>
    </row>
    <row r="1189" spans="1:36" x14ac:dyDescent="0.25">
      <c r="A1189" s="5" t="s">
        <v>678</v>
      </c>
      <c r="B1189" s="5" t="s">
        <v>1686</v>
      </c>
      <c r="C1189" s="5" t="s">
        <v>1686</v>
      </c>
      <c r="D1189" s="5" t="s">
        <v>1848</v>
      </c>
      <c r="E1189" s="5">
        <v>36.489711999999997</v>
      </c>
      <c r="F1189" s="5">
        <v>137.44911300000001</v>
      </c>
      <c r="G1189" s="5">
        <v>1959</v>
      </c>
      <c r="M1189" s="5">
        <v>3.5</v>
      </c>
      <c r="V1189" s="5">
        <v>0</v>
      </c>
      <c r="W1189" s="5" t="s">
        <v>73</v>
      </c>
      <c r="Y1189" s="5">
        <v>140</v>
      </c>
      <c r="AC1189" s="5">
        <v>222000000</v>
      </c>
      <c r="AD1189" s="5" t="s">
        <v>92</v>
      </c>
      <c r="AI1189" s="10" t="s">
        <v>1847</v>
      </c>
      <c r="AJ1189" s="5" t="s">
        <v>1804</v>
      </c>
    </row>
    <row r="1190" spans="1:36" x14ac:dyDescent="0.25">
      <c r="A1190" s="5" t="s">
        <v>678</v>
      </c>
      <c r="B1190" s="5" t="s">
        <v>1686</v>
      </c>
      <c r="C1190" s="5" t="s">
        <v>1686</v>
      </c>
      <c r="D1190" s="5" t="s">
        <v>1849</v>
      </c>
      <c r="E1190" s="5">
        <v>35.889660999999997</v>
      </c>
      <c r="F1190" s="5">
        <v>136.68778699999999</v>
      </c>
      <c r="M1190" s="5">
        <v>3.5</v>
      </c>
      <c r="V1190" s="5">
        <v>0</v>
      </c>
      <c r="W1190" s="5" t="s">
        <v>73</v>
      </c>
      <c r="Y1190" s="5">
        <v>128</v>
      </c>
      <c r="AC1190" s="5">
        <v>353000000</v>
      </c>
      <c r="AD1190" s="5" t="s">
        <v>92</v>
      </c>
      <c r="AI1190" s="10" t="s">
        <v>1847</v>
      </c>
      <c r="AJ1190" s="5" t="s">
        <v>1804</v>
      </c>
    </row>
    <row r="1191" spans="1:36" x14ac:dyDescent="0.25">
      <c r="A1191" s="5" t="s">
        <v>678</v>
      </c>
      <c r="B1191" s="5" t="s">
        <v>1686</v>
      </c>
      <c r="C1191" s="5" t="s">
        <v>1686</v>
      </c>
      <c r="D1191" s="5" t="s">
        <v>1850</v>
      </c>
      <c r="E1191" s="5">
        <v>36.154153000000001</v>
      </c>
      <c r="F1191" s="5">
        <v>137.747648</v>
      </c>
      <c r="G1191" s="5" t="s">
        <v>2817</v>
      </c>
      <c r="M1191" s="5">
        <v>3.5</v>
      </c>
      <c r="V1191" s="5">
        <v>0</v>
      </c>
      <c r="W1191" s="5" t="s">
        <v>73</v>
      </c>
      <c r="Y1191" s="5">
        <v>95</v>
      </c>
      <c r="AI1191" s="10" t="s">
        <v>1847</v>
      </c>
      <c r="AJ1191" s="5" t="s">
        <v>2816</v>
      </c>
    </row>
    <row r="1192" spans="1:36" x14ac:dyDescent="0.25">
      <c r="A1192" s="5" t="s">
        <v>678</v>
      </c>
      <c r="B1192" s="5" t="s">
        <v>1686</v>
      </c>
      <c r="C1192" s="5" t="s">
        <v>1686</v>
      </c>
      <c r="D1192" s="5" t="s">
        <v>1851</v>
      </c>
      <c r="E1192" s="5">
        <v>35.824162000000001</v>
      </c>
      <c r="F1192" s="5">
        <v>137.60286400000001</v>
      </c>
      <c r="M1192" s="5">
        <v>3.5</v>
      </c>
      <c r="V1192" s="5">
        <v>0</v>
      </c>
      <c r="W1192" s="5" t="s">
        <v>73</v>
      </c>
      <c r="AI1192" s="10" t="s">
        <v>1847</v>
      </c>
      <c r="AJ1192" s="5" t="s">
        <v>1804</v>
      </c>
    </row>
    <row r="1193" spans="1:36" x14ac:dyDescent="0.25">
      <c r="A1193" s="5" t="s">
        <v>678</v>
      </c>
      <c r="B1193" s="5" t="s">
        <v>1686</v>
      </c>
      <c r="C1193" s="5" t="s">
        <v>1686</v>
      </c>
      <c r="D1193" s="5" t="s">
        <v>1852</v>
      </c>
      <c r="E1193" s="5">
        <v>38.242350000000002</v>
      </c>
      <c r="F1193" s="5">
        <v>139.635312</v>
      </c>
      <c r="G1193" s="5" t="s">
        <v>2818</v>
      </c>
      <c r="M1193" s="5">
        <v>3.5</v>
      </c>
      <c r="V1193" s="5">
        <v>0</v>
      </c>
      <c r="W1193" s="5" t="s">
        <v>73</v>
      </c>
      <c r="Y1193" s="5">
        <v>85.5</v>
      </c>
      <c r="AI1193" s="10" t="s">
        <v>1847</v>
      </c>
      <c r="AJ1193" s="5" t="s">
        <v>2816</v>
      </c>
    </row>
    <row r="1194" spans="1:36" x14ac:dyDescent="0.25">
      <c r="A1194" s="5" t="s">
        <v>678</v>
      </c>
      <c r="B1194" s="5" t="s">
        <v>1686</v>
      </c>
      <c r="C1194" s="5" t="s">
        <v>1686</v>
      </c>
      <c r="D1194" s="5" t="s">
        <v>1853</v>
      </c>
      <c r="E1194" s="5">
        <v>36.132717</v>
      </c>
      <c r="F1194" s="5">
        <v>137.71829299999999</v>
      </c>
      <c r="G1194" s="5" t="s">
        <v>2819</v>
      </c>
      <c r="M1194" s="5">
        <v>3.5</v>
      </c>
      <c r="V1194" s="5">
        <v>0</v>
      </c>
      <c r="W1194" s="5" t="s">
        <v>73</v>
      </c>
      <c r="Y1194" s="5">
        <v>155</v>
      </c>
      <c r="AI1194" s="10" t="s">
        <v>1847</v>
      </c>
      <c r="AJ1194" s="5" t="s">
        <v>2816</v>
      </c>
    </row>
    <row r="1195" spans="1:36" x14ac:dyDescent="0.25">
      <c r="A1195" s="5" t="s">
        <v>678</v>
      </c>
      <c r="B1195" s="5" t="s">
        <v>1686</v>
      </c>
      <c r="C1195" s="5" t="s">
        <v>1686</v>
      </c>
      <c r="D1195" s="5" t="s">
        <v>1854</v>
      </c>
      <c r="E1195" s="5">
        <v>38.754688999999999</v>
      </c>
      <c r="F1195" s="5">
        <v>140.70499799999999</v>
      </c>
      <c r="G1195" s="5" t="s">
        <v>2820</v>
      </c>
      <c r="M1195" s="5">
        <v>3.5</v>
      </c>
      <c r="V1195" s="5">
        <v>0</v>
      </c>
      <c r="W1195" s="5" t="s">
        <v>73</v>
      </c>
      <c r="Y1195" s="5">
        <v>94.5</v>
      </c>
      <c r="AI1195" s="10" t="s">
        <v>1847</v>
      </c>
      <c r="AJ1195" s="5" t="s">
        <v>2816</v>
      </c>
    </row>
    <row r="1196" spans="1:36" x14ac:dyDescent="0.25">
      <c r="A1196" s="5" t="s">
        <v>678</v>
      </c>
      <c r="B1196" s="5" t="s">
        <v>1686</v>
      </c>
      <c r="C1196" s="5" t="s">
        <v>1686</v>
      </c>
      <c r="D1196" s="5" t="s">
        <v>1855</v>
      </c>
      <c r="E1196" s="5">
        <v>38.321615000000001</v>
      </c>
      <c r="F1196" s="5">
        <v>140.70578699999999</v>
      </c>
      <c r="G1196" s="5" t="s">
        <v>2821</v>
      </c>
      <c r="M1196" s="5">
        <v>3.5</v>
      </c>
      <c r="V1196" s="5">
        <v>0</v>
      </c>
      <c r="W1196" s="5" t="s">
        <v>73</v>
      </c>
      <c r="Y1196" s="5">
        <v>82</v>
      </c>
      <c r="AI1196" s="10" t="s">
        <v>1847</v>
      </c>
      <c r="AJ1196" s="5" t="s">
        <v>2816</v>
      </c>
    </row>
    <row r="1197" spans="1:36" x14ac:dyDescent="0.25">
      <c r="A1197" s="5" t="s">
        <v>678</v>
      </c>
      <c r="B1197" s="5" t="s">
        <v>1686</v>
      </c>
      <c r="C1197" s="5" t="s">
        <v>1686</v>
      </c>
      <c r="D1197" s="5" t="s">
        <v>1856</v>
      </c>
      <c r="E1197" s="5">
        <v>36.469929</v>
      </c>
      <c r="F1197" s="5">
        <v>136.806197</v>
      </c>
      <c r="G1197" s="5" t="s">
        <v>2822</v>
      </c>
      <c r="M1197" s="5">
        <v>3.5</v>
      </c>
      <c r="V1197" s="5">
        <v>0</v>
      </c>
      <c r="W1197" s="5" t="s">
        <v>73</v>
      </c>
      <c r="Y1197" s="5">
        <v>101</v>
      </c>
      <c r="AI1197" s="10" t="s">
        <v>1847</v>
      </c>
      <c r="AJ1197" s="5" t="s">
        <v>2816</v>
      </c>
    </row>
    <row r="1198" spans="1:36" x14ac:dyDescent="0.25">
      <c r="A1198" s="5" t="s">
        <v>678</v>
      </c>
      <c r="B1198" s="5" t="s">
        <v>1686</v>
      </c>
      <c r="C1198" s="5" t="s">
        <v>1686</v>
      </c>
      <c r="D1198" s="5" t="s">
        <v>1857</v>
      </c>
      <c r="E1198" s="5">
        <v>36.473193000000002</v>
      </c>
      <c r="F1198" s="5">
        <v>136.67080999999999</v>
      </c>
      <c r="G1198" s="5" t="s">
        <v>2823</v>
      </c>
      <c r="M1198" s="5">
        <v>3.5</v>
      </c>
      <c r="V1198" s="5">
        <v>0</v>
      </c>
      <c r="W1198" s="5" t="s">
        <v>73</v>
      </c>
      <c r="Y1198" s="5">
        <v>81</v>
      </c>
      <c r="AI1198" s="10" t="s">
        <v>1847</v>
      </c>
      <c r="AJ1198" s="5" t="s">
        <v>2816</v>
      </c>
    </row>
    <row r="1199" spans="1:36" x14ac:dyDescent="0.25">
      <c r="A1199" s="5" t="s">
        <v>678</v>
      </c>
      <c r="B1199" s="5" t="s">
        <v>1686</v>
      </c>
      <c r="C1199" s="5" t="s">
        <v>1686</v>
      </c>
      <c r="D1199" s="5" t="s">
        <v>1858</v>
      </c>
      <c r="E1199" s="5">
        <v>39.301558999999997</v>
      </c>
      <c r="F1199" s="5">
        <v>140.885043</v>
      </c>
      <c r="G1199" s="5" t="s">
        <v>2824</v>
      </c>
      <c r="M1199" s="5">
        <v>3.5</v>
      </c>
      <c r="V1199" s="5">
        <v>0</v>
      </c>
      <c r="W1199" s="5" t="s">
        <v>73</v>
      </c>
      <c r="Y1199" s="5">
        <v>87.5</v>
      </c>
      <c r="AI1199" s="10" t="s">
        <v>1847</v>
      </c>
      <c r="AJ1199" s="5" t="s">
        <v>2816</v>
      </c>
    </row>
    <row r="1200" spans="1:36" x14ac:dyDescent="0.25">
      <c r="A1200" s="5" t="s">
        <v>678</v>
      </c>
      <c r="B1200" s="5" t="s">
        <v>1686</v>
      </c>
      <c r="C1200" s="5" t="s">
        <v>1686</v>
      </c>
      <c r="D1200" s="5" t="s">
        <v>2825</v>
      </c>
      <c r="E1200" s="5">
        <v>35.789648999999997</v>
      </c>
      <c r="F1200" s="5">
        <v>139.05087399999999</v>
      </c>
      <c r="G1200" s="5" t="s">
        <v>2826</v>
      </c>
      <c r="M1200" s="5">
        <v>3.5</v>
      </c>
      <c r="V1200" s="5">
        <v>0</v>
      </c>
      <c r="W1200" s="5" t="s">
        <v>73</v>
      </c>
      <c r="Y1200" s="5">
        <v>149</v>
      </c>
      <c r="AI1200" s="5" t="s">
        <v>1847</v>
      </c>
      <c r="AJ1200" s="5" t="s">
        <v>2827</v>
      </c>
    </row>
    <row r="1201" spans="1:36" x14ac:dyDescent="0.25">
      <c r="A1201" s="5" t="s">
        <v>678</v>
      </c>
      <c r="B1201" s="5" t="s">
        <v>1686</v>
      </c>
      <c r="C1201" s="5" t="s">
        <v>1686</v>
      </c>
      <c r="D1201" s="5" t="s">
        <v>2828</v>
      </c>
      <c r="E1201" s="5">
        <v>36.903039999999997</v>
      </c>
      <c r="F1201" s="5">
        <v>139.70530199999999</v>
      </c>
      <c r="G1201" s="5" t="s">
        <v>115</v>
      </c>
      <c r="M1201" s="5">
        <v>3.5</v>
      </c>
      <c r="V1201" s="5">
        <v>0</v>
      </c>
      <c r="W1201" s="5" t="s">
        <v>73</v>
      </c>
      <c r="Y1201" s="5">
        <v>112</v>
      </c>
      <c r="AI1201" s="5" t="s">
        <v>1847</v>
      </c>
      <c r="AJ1201" s="5" t="s">
        <v>2827</v>
      </c>
    </row>
    <row r="1202" spans="1:36" x14ac:dyDescent="0.25">
      <c r="A1202" s="5" t="s">
        <v>678</v>
      </c>
      <c r="B1202" s="5" t="s">
        <v>1686</v>
      </c>
      <c r="C1202" s="5" t="s">
        <v>1686</v>
      </c>
      <c r="D1202" s="5" t="s">
        <v>2829</v>
      </c>
      <c r="E1202" s="5">
        <v>34.286572</v>
      </c>
      <c r="F1202" s="5">
        <v>136.196099</v>
      </c>
      <c r="G1202" s="5" t="s">
        <v>2830</v>
      </c>
      <c r="M1202" s="5">
        <v>3.5</v>
      </c>
      <c r="V1202" s="5">
        <v>0</v>
      </c>
      <c r="W1202" s="5" t="s">
        <v>73</v>
      </c>
      <c r="Y1202" s="5">
        <v>88.5</v>
      </c>
      <c r="AI1202" s="5" t="s">
        <v>1847</v>
      </c>
      <c r="AJ1202" s="5" t="s">
        <v>2827</v>
      </c>
    </row>
    <row r="1203" spans="1:36" x14ac:dyDescent="0.25">
      <c r="A1203" s="5" t="s">
        <v>678</v>
      </c>
      <c r="B1203" s="5" t="s">
        <v>1686</v>
      </c>
      <c r="C1203" s="5" t="s">
        <v>1686</v>
      </c>
      <c r="D1203" s="5" t="s">
        <v>2831</v>
      </c>
      <c r="E1203" s="5">
        <v>35.824157999999997</v>
      </c>
      <c r="F1203" s="5">
        <v>137.39391499999999</v>
      </c>
      <c r="G1203" s="5" t="s">
        <v>2832</v>
      </c>
      <c r="M1203" s="5">
        <v>3.5</v>
      </c>
      <c r="V1203" s="5">
        <v>0</v>
      </c>
      <c r="W1203" s="5" t="s">
        <v>73</v>
      </c>
      <c r="Y1203" s="5">
        <v>83.2</v>
      </c>
      <c r="AI1203" s="5" t="s">
        <v>1847</v>
      </c>
      <c r="AJ1203" s="5" t="s">
        <v>2827</v>
      </c>
    </row>
    <row r="1204" spans="1:36" x14ac:dyDescent="0.25">
      <c r="A1204" s="5" t="s">
        <v>153</v>
      </c>
      <c r="B1204" s="5" t="s">
        <v>1686</v>
      </c>
      <c r="C1204" s="5" t="s">
        <v>1686</v>
      </c>
      <c r="D1204" s="5" t="s">
        <v>1907</v>
      </c>
      <c r="E1204" s="5">
        <v>29.33475</v>
      </c>
      <c r="F1204" s="5">
        <v>103.610108</v>
      </c>
      <c r="G1204" s="5">
        <v>1992</v>
      </c>
      <c r="I1204" s="6">
        <v>33700</v>
      </c>
      <c r="M1204" s="5">
        <v>3.5</v>
      </c>
      <c r="N1204" s="5" t="s">
        <v>1691</v>
      </c>
      <c r="O1204" s="5">
        <v>1200</v>
      </c>
      <c r="P1204" s="7">
        <v>33802</v>
      </c>
      <c r="Q1204" s="5">
        <v>1992</v>
      </c>
      <c r="T1204" s="5" t="s">
        <v>2158</v>
      </c>
      <c r="V1204" s="5">
        <v>0</v>
      </c>
      <c r="W1204" s="14" t="s">
        <v>44</v>
      </c>
      <c r="Y1204" s="5">
        <v>82</v>
      </c>
      <c r="AC1204" s="5">
        <v>2000000000</v>
      </c>
      <c r="AD1204" s="5" t="s">
        <v>92</v>
      </c>
      <c r="AJ1204" s="5" t="s">
        <v>2833</v>
      </c>
    </row>
    <row r="1205" spans="1:36" x14ac:dyDescent="0.25">
      <c r="A1205" s="5" t="s">
        <v>153</v>
      </c>
      <c r="B1205" s="5" t="s">
        <v>1686</v>
      </c>
      <c r="C1205" s="5" t="s">
        <v>1686</v>
      </c>
      <c r="D1205" s="5" t="s">
        <v>1872</v>
      </c>
      <c r="E1205" s="5">
        <v>24.866264999999999</v>
      </c>
      <c r="F1205" s="5">
        <v>104.579944</v>
      </c>
      <c r="G1205" s="5">
        <v>1988</v>
      </c>
      <c r="I1205" s="6">
        <v>32470</v>
      </c>
      <c r="M1205" s="5">
        <v>3.4</v>
      </c>
      <c r="N1205" s="5" t="s">
        <v>1691</v>
      </c>
      <c r="P1205" s="7">
        <v>32504</v>
      </c>
      <c r="Q1205" s="5">
        <v>1988</v>
      </c>
      <c r="T1205" s="5" t="s">
        <v>2834</v>
      </c>
      <c r="V1205" s="5">
        <v>0</v>
      </c>
      <c r="W1205" s="14" t="s">
        <v>44</v>
      </c>
      <c r="Y1205" s="5">
        <v>103</v>
      </c>
      <c r="AC1205" s="5">
        <v>110000000</v>
      </c>
      <c r="AD1205" s="5" t="s">
        <v>92</v>
      </c>
      <c r="AJ1205" s="5" t="s">
        <v>2835</v>
      </c>
    </row>
    <row r="1206" spans="1:36" x14ac:dyDescent="0.25">
      <c r="A1206" s="5" t="s">
        <v>784</v>
      </c>
      <c r="B1206" s="5" t="s">
        <v>1686</v>
      </c>
      <c r="C1206" s="5" t="s">
        <v>1686</v>
      </c>
      <c r="D1206" s="5" t="s">
        <v>1870</v>
      </c>
      <c r="E1206" s="5">
        <v>-1.915421</v>
      </c>
      <c r="F1206" s="5">
        <v>-59.47345</v>
      </c>
      <c r="G1206" s="5" t="s">
        <v>1871</v>
      </c>
      <c r="M1206" s="5">
        <v>3.4</v>
      </c>
      <c r="N1206" s="5" t="s">
        <v>808</v>
      </c>
      <c r="P1206" s="7">
        <v>32957</v>
      </c>
      <c r="Q1206" s="5">
        <v>1990</v>
      </c>
      <c r="V1206" s="5">
        <v>0</v>
      </c>
      <c r="W1206" s="5" t="s">
        <v>44</v>
      </c>
      <c r="Y1206" s="5">
        <v>42</v>
      </c>
      <c r="AC1206" s="5">
        <v>17500000000</v>
      </c>
      <c r="AD1206" s="5" t="s">
        <v>92</v>
      </c>
      <c r="AJ1206" s="5" t="s">
        <v>2195</v>
      </c>
    </row>
    <row r="1207" spans="1:36" x14ac:dyDescent="0.25">
      <c r="A1207" s="5" t="s">
        <v>153</v>
      </c>
      <c r="B1207" s="5" t="s">
        <v>1686</v>
      </c>
      <c r="C1207" s="5" t="s">
        <v>1686</v>
      </c>
      <c r="D1207" s="5" t="s">
        <v>2836</v>
      </c>
      <c r="E1207" s="5">
        <v>28.829422000000001</v>
      </c>
      <c r="F1207" s="5">
        <v>118.895664</v>
      </c>
      <c r="I1207" s="5" t="s">
        <v>2837</v>
      </c>
      <c r="M1207" s="5">
        <v>3.4</v>
      </c>
      <c r="N1207" s="5" t="s">
        <v>65</v>
      </c>
      <c r="P1207" s="7">
        <v>29135</v>
      </c>
      <c r="Q1207" s="5">
        <v>1979</v>
      </c>
      <c r="T1207" s="5" t="s">
        <v>2772</v>
      </c>
      <c r="V1207" s="5">
        <v>0</v>
      </c>
      <c r="W1207" s="5" t="s">
        <v>44</v>
      </c>
      <c r="Y1207" s="5">
        <v>129</v>
      </c>
      <c r="AC1207" s="5">
        <v>2060000000</v>
      </c>
      <c r="AD1207" s="5" t="s">
        <v>92</v>
      </c>
      <c r="AJ1207" s="5" t="s">
        <v>2838</v>
      </c>
    </row>
    <row r="1208" spans="1:36" x14ac:dyDescent="0.25">
      <c r="A1208" s="5" t="s">
        <v>189</v>
      </c>
      <c r="B1208" s="5" t="s">
        <v>1686</v>
      </c>
      <c r="C1208" s="5" t="s">
        <v>1686</v>
      </c>
      <c r="D1208" s="5" t="s">
        <v>1874</v>
      </c>
      <c r="E1208" s="5">
        <v>44.471806999999998</v>
      </c>
      <c r="F1208" s="5">
        <v>6.2704430000000002</v>
      </c>
      <c r="G1208" s="5">
        <v>1925</v>
      </c>
      <c r="M1208" s="5">
        <v>3.3</v>
      </c>
      <c r="O1208" s="6"/>
      <c r="P1208" s="7">
        <v>24342</v>
      </c>
      <c r="Q1208" s="5">
        <v>1966</v>
      </c>
      <c r="V1208" s="5">
        <v>0</v>
      </c>
      <c r="W1208" s="5" t="s">
        <v>44</v>
      </c>
      <c r="Z1208" s="14">
        <v>28.2</v>
      </c>
      <c r="AC1208" s="5">
        <v>1270000000</v>
      </c>
      <c r="AD1208" s="5" t="s">
        <v>92</v>
      </c>
      <c r="AJ1208" s="5" t="s">
        <v>2196</v>
      </c>
    </row>
    <row r="1209" spans="1:36" x14ac:dyDescent="0.25">
      <c r="A1209" s="5" t="s">
        <v>189</v>
      </c>
      <c r="B1209" s="5" t="s">
        <v>1686</v>
      </c>
      <c r="C1209" s="5" t="s">
        <v>1686</v>
      </c>
      <c r="D1209" s="5" t="s">
        <v>2197</v>
      </c>
      <c r="E1209" s="5">
        <v>42.745829999999998</v>
      </c>
      <c r="F1209" s="5">
        <v>2.5901010000000002</v>
      </c>
      <c r="G1209" s="5">
        <v>1995</v>
      </c>
      <c r="M1209" s="5">
        <v>3.3</v>
      </c>
      <c r="V1209" s="5">
        <v>0</v>
      </c>
      <c r="W1209" s="5" t="s">
        <v>44</v>
      </c>
      <c r="Z1209" s="5">
        <v>1.8</v>
      </c>
      <c r="AC1209" s="5">
        <v>26000000</v>
      </c>
      <c r="AD1209" s="5" t="s">
        <v>92</v>
      </c>
      <c r="AJ1209" s="5" t="s">
        <v>2198</v>
      </c>
    </row>
    <row r="1210" spans="1:36" x14ac:dyDescent="0.25">
      <c r="A1210" s="5" t="s">
        <v>153</v>
      </c>
      <c r="B1210" s="5" t="s">
        <v>1686</v>
      </c>
      <c r="C1210" s="5" t="s">
        <v>1686</v>
      </c>
      <c r="D1210" s="5" t="s">
        <v>2839</v>
      </c>
      <c r="E1210" s="5">
        <v>27.675771000000001</v>
      </c>
      <c r="F1210" s="25">
        <v>100.291901</v>
      </c>
      <c r="I1210" s="5" t="s">
        <v>53</v>
      </c>
      <c r="M1210" s="5">
        <v>3.3</v>
      </c>
      <c r="P1210" s="7">
        <v>42178</v>
      </c>
      <c r="Q1210" s="5">
        <v>2015</v>
      </c>
      <c r="T1210" s="5" t="s">
        <v>2760</v>
      </c>
      <c r="V1210" s="5">
        <v>0</v>
      </c>
      <c r="W1210" s="5" t="s">
        <v>44</v>
      </c>
      <c r="Y1210" s="5">
        <v>128</v>
      </c>
      <c r="AC1210" s="5">
        <v>727000000</v>
      </c>
      <c r="AJ1210" s="5" t="s">
        <v>2840</v>
      </c>
    </row>
    <row r="1211" spans="1:36" x14ac:dyDescent="0.25">
      <c r="A1211" s="5" t="s">
        <v>153</v>
      </c>
      <c r="B1211" s="5" t="s">
        <v>1686</v>
      </c>
      <c r="C1211" s="5" t="s">
        <v>1686</v>
      </c>
      <c r="D1211" s="5" t="s">
        <v>1876</v>
      </c>
      <c r="E1211" s="5">
        <v>29.205760000000001</v>
      </c>
      <c r="F1211" s="5">
        <v>115.500224</v>
      </c>
      <c r="G1211" s="5">
        <v>1972</v>
      </c>
      <c r="I1211" s="5" t="s">
        <v>2841</v>
      </c>
      <c r="M1211" s="5">
        <v>3.2</v>
      </c>
      <c r="N1211" s="5" t="s">
        <v>1691</v>
      </c>
      <c r="O1211" s="5">
        <v>5167</v>
      </c>
      <c r="P1211" s="7">
        <v>26586</v>
      </c>
      <c r="Q1211" s="5">
        <v>1972</v>
      </c>
      <c r="T1211" s="5" t="s">
        <v>2764</v>
      </c>
      <c r="V1211" s="5">
        <v>0</v>
      </c>
      <c r="W1211" s="14" t="s">
        <v>44</v>
      </c>
      <c r="Y1211" s="5">
        <v>63.5</v>
      </c>
      <c r="AC1211" s="5">
        <v>7920000000</v>
      </c>
      <c r="AD1211" s="5" t="s">
        <v>92</v>
      </c>
      <c r="AJ1211" s="5" t="s">
        <v>2842</v>
      </c>
    </row>
    <row r="1212" spans="1:36" x14ac:dyDescent="0.25">
      <c r="A1212" s="5" t="s">
        <v>1082</v>
      </c>
      <c r="B1212" s="5" t="s">
        <v>1686</v>
      </c>
      <c r="C1212" s="5" t="s">
        <v>1686</v>
      </c>
      <c r="D1212" s="5" t="s">
        <v>1875</v>
      </c>
      <c r="E1212" s="5">
        <v>18.968837000000001</v>
      </c>
      <c r="F1212" s="5">
        <v>78.340952999999999</v>
      </c>
      <c r="G1212" s="5">
        <v>1983</v>
      </c>
      <c r="M1212" s="5">
        <v>3.2</v>
      </c>
      <c r="P1212" s="7">
        <v>30884</v>
      </c>
      <c r="Q1212" s="5">
        <v>1984</v>
      </c>
      <c r="V1212" s="5">
        <v>0</v>
      </c>
      <c r="W1212" s="5" t="s">
        <v>73</v>
      </c>
      <c r="Y1212" s="5">
        <v>43</v>
      </c>
      <c r="AC1212" s="5">
        <v>32000000000</v>
      </c>
      <c r="AD1212" s="5" t="s">
        <v>92</v>
      </c>
      <c r="AJ1212" s="5" t="s">
        <v>1702</v>
      </c>
    </row>
    <row r="1213" spans="1:36" x14ac:dyDescent="0.25">
      <c r="A1213" s="5" t="s">
        <v>784</v>
      </c>
      <c r="B1213" s="5" t="s">
        <v>1686</v>
      </c>
      <c r="C1213" s="5" t="s">
        <v>1686</v>
      </c>
      <c r="D1213" s="5" t="s">
        <v>2199</v>
      </c>
      <c r="E1213" s="5">
        <v>-22.528896</v>
      </c>
      <c r="F1213" s="5">
        <v>-44.567925000000002</v>
      </c>
      <c r="G1213" s="5">
        <v>2002</v>
      </c>
      <c r="M1213" s="5">
        <v>3.2</v>
      </c>
      <c r="N1213" s="5" t="s">
        <v>1816</v>
      </c>
      <c r="P1213" s="7">
        <v>40769</v>
      </c>
      <c r="Q1213" s="5">
        <v>2011</v>
      </c>
      <c r="V1213" s="5">
        <v>0</v>
      </c>
      <c r="W1213" s="5" t="s">
        <v>44</v>
      </c>
      <c r="Y1213" s="5">
        <v>50</v>
      </c>
      <c r="AC1213" s="5">
        <v>260000000</v>
      </c>
      <c r="AD1213" s="5" t="s">
        <v>92</v>
      </c>
      <c r="AJ1213" s="5" t="s">
        <v>2200</v>
      </c>
    </row>
    <row r="1214" spans="1:36" x14ac:dyDescent="0.25">
      <c r="A1214" s="5" t="s">
        <v>784</v>
      </c>
      <c r="B1214" s="5" t="s">
        <v>1686</v>
      </c>
      <c r="C1214" s="5" t="s">
        <v>1686</v>
      </c>
      <c r="D1214" s="5" t="s">
        <v>2201</v>
      </c>
      <c r="E1214" s="5">
        <v>-9.2662890000000004</v>
      </c>
      <c r="F1214" s="5">
        <v>-64.647841</v>
      </c>
      <c r="G1214" s="5">
        <v>2014</v>
      </c>
      <c r="M1214" s="5">
        <v>3.2</v>
      </c>
      <c r="N1214" s="5" t="s">
        <v>1816</v>
      </c>
      <c r="P1214" s="7">
        <v>41950</v>
      </c>
      <c r="Q1214" s="5">
        <v>2014</v>
      </c>
      <c r="V1214" s="5">
        <v>0</v>
      </c>
      <c r="W1214" s="5" t="s">
        <v>44</v>
      </c>
      <c r="Y1214" s="5">
        <v>62</v>
      </c>
      <c r="AC1214" s="5">
        <v>2730000000</v>
      </c>
      <c r="AD1214" s="5" t="s">
        <v>92</v>
      </c>
      <c r="AJ1214" s="5" t="s">
        <v>2200</v>
      </c>
    </row>
    <row r="1215" spans="1:36" x14ac:dyDescent="0.25">
      <c r="A1215" s="5" t="s">
        <v>153</v>
      </c>
      <c r="B1215" s="5" t="s">
        <v>1686</v>
      </c>
      <c r="C1215" s="5" t="s">
        <v>1686</v>
      </c>
      <c r="D1215" s="5" t="s">
        <v>2843</v>
      </c>
      <c r="E1215" s="5">
        <v>29.672813000000001</v>
      </c>
      <c r="F1215" s="5">
        <v>103.03721</v>
      </c>
      <c r="M1215" s="5">
        <v>3.2</v>
      </c>
      <c r="P1215" s="7">
        <v>39901</v>
      </c>
      <c r="Q1215" s="5">
        <v>2009</v>
      </c>
      <c r="T1215" s="5" t="s">
        <v>2158</v>
      </c>
      <c r="V1215" s="5">
        <v>0</v>
      </c>
      <c r="W1215" s="5" t="s">
        <v>44</v>
      </c>
      <c r="Y1215" s="5">
        <v>142.6</v>
      </c>
      <c r="AC1215" s="5">
        <v>584300000</v>
      </c>
      <c r="AD1215" s="5" t="s">
        <v>92</v>
      </c>
      <c r="AJ1215" s="5" t="s">
        <v>2844</v>
      </c>
    </row>
    <row r="1216" spans="1:36" x14ac:dyDescent="0.25">
      <c r="A1216" s="5" t="s">
        <v>1878</v>
      </c>
      <c r="B1216" s="5" t="s">
        <v>1686</v>
      </c>
      <c r="C1216" s="5" t="s">
        <v>1686</v>
      </c>
      <c r="D1216" s="5" t="s">
        <v>1879</v>
      </c>
      <c r="E1216" s="5">
        <v>-29.336925000000001</v>
      </c>
      <c r="F1216" s="5">
        <v>28.506183</v>
      </c>
      <c r="G1216" s="5">
        <v>1995</v>
      </c>
      <c r="M1216" s="5">
        <v>3.1</v>
      </c>
      <c r="P1216" s="5">
        <v>1996</v>
      </c>
      <c r="Q1216" s="5">
        <v>1996</v>
      </c>
      <c r="V1216" s="5">
        <v>0</v>
      </c>
      <c r="W1216" s="5" t="s">
        <v>44</v>
      </c>
      <c r="Y1216" s="5">
        <v>185</v>
      </c>
      <c r="AC1216" s="5">
        <v>1950000000</v>
      </c>
      <c r="AD1216" s="5" t="s">
        <v>92</v>
      </c>
      <c r="AJ1216" s="5" t="s">
        <v>1714</v>
      </c>
    </row>
    <row r="1217" spans="1:36" x14ac:dyDescent="0.25">
      <c r="A1217" s="5" t="s">
        <v>123</v>
      </c>
      <c r="B1217" s="5" t="s">
        <v>1686</v>
      </c>
      <c r="C1217" s="5" t="s">
        <v>1686</v>
      </c>
      <c r="D1217" s="5" t="s">
        <v>2072</v>
      </c>
      <c r="E1217" s="5">
        <v>50.624434999999998</v>
      </c>
      <c r="F1217" s="5">
        <v>-63.192762999999999</v>
      </c>
      <c r="G1217" s="5" t="s">
        <v>1971</v>
      </c>
      <c r="H1217" s="5" t="s">
        <v>53</v>
      </c>
      <c r="M1217" s="5">
        <v>3.1</v>
      </c>
      <c r="N1217" s="5" t="s">
        <v>933</v>
      </c>
      <c r="V1217" s="5">
        <v>0</v>
      </c>
      <c r="W1217" s="5" t="s">
        <v>44</v>
      </c>
      <c r="Y1217" s="5">
        <v>109</v>
      </c>
      <c r="Z1217" s="5">
        <v>85.8</v>
      </c>
      <c r="AC1217" s="5">
        <f>3.72*10^9</f>
        <v>3720000000</v>
      </c>
      <c r="AD1217" s="5" t="s">
        <v>92</v>
      </c>
      <c r="AJ1217" s="5" t="s">
        <v>2073</v>
      </c>
    </row>
    <row r="1218" spans="1:36" x14ac:dyDescent="0.25">
      <c r="A1218" s="5" t="s">
        <v>34</v>
      </c>
      <c r="B1218" s="5" t="s">
        <v>1686</v>
      </c>
      <c r="C1218" s="5" t="s">
        <v>1686</v>
      </c>
      <c r="D1218" s="5" t="s">
        <v>1888</v>
      </c>
      <c r="E1218" s="5">
        <v>36.0456</v>
      </c>
      <c r="F1218" s="5">
        <v>1.611594</v>
      </c>
      <c r="G1218" s="5">
        <v>1932</v>
      </c>
      <c r="M1218" s="5">
        <v>3</v>
      </c>
      <c r="P1218" s="7" t="s">
        <v>1889</v>
      </c>
      <c r="Q1218" s="5">
        <v>1933</v>
      </c>
      <c r="V1218" s="5">
        <v>0</v>
      </c>
      <c r="W1218" s="5" t="s">
        <v>44</v>
      </c>
      <c r="Y1218" s="5">
        <v>101</v>
      </c>
      <c r="AC1218" s="5">
        <v>225000000</v>
      </c>
      <c r="AD1218" s="5" t="s">
        <v>92</v>
      </c>
      <c r="AJ1218" s="5" t="s">
        <v>1702</v>
      </c>
    </row>
    <row r="1219" spans="1:36" x14ac:dyDescent="0.25">
      <c r="A1219" s="5" t="s">
        <v>51</v>
      </c>
      <c r="B1219" s="5" t="s">
        <v>1686</v>
      </c>
      <c r="C1219" s="5" t="s">
        <v>1686</v>
      </c>
      <c r="D1219" s="5" t="s">
        <v>1893</v>
      </c>
      <c r="E1219" s="5">
        <v>40.718606000000001</v>
      </c>
      <c r="F1219" s="5">
        <v>-122.419201</v>
      </c>
      <c r="G1219" s="5">
        <v>1944</v>
      </c>
      <c r="M1219" s="5">
        <v>3</v>
      </c>
      <c r="P1219" s="5">
        <v>1944</v>
      </c>
      <c r="Q1219" s="5">
        <v>1944</v>
      </c>
      <c r="V1219" s="5">
        <v>0</v>
      </c>
      <c r="W1219" s="5" t="s">
        <v>90</v>
      </c>
      <c r="Y1219" s="5">
        <v>183</v>
      </c>
      <c r="Z1219" s="14">
        <v>122.7</v>
      </c>
      <c r="AC1219" s="5">
        <v>5615000000</v>
      </c>
      <c r="AD1219" s="5" t="s">
        <v>92</v>
      </c>
      <c r="AJ1219" s="5" t="s">
        <v>1714</v>
      </c>
    </row>
    <row r="1220" spans="1:36" x14ac:dyDescent="0.25">
      <c r="A1220" s="5" t="s">
        <v>108</v>
      </c>
      <c r="B1220" s="5" t="s">
        <v>1686</v>
      </c>
      <c r="C1220" s="5" t="s">
        <v>1686</v>
      </c>
      <c r="D1220" s="5" t="s">
        <v>1901</v>
      </c>
      <c r="E1220" s="5">
        <v>46.267364000000001</v>
      </c>
      <c r="F1220" s="5">
        <v>12.329219</v>
      </c>
      <c r="G1220" s="5">
        <v>1960</v>
      </c>
      <c r="M1220" s="5">
        <v>3</v>
      </c>
      <c r="N1220" s="5" t="s">
        <v>65</v>
      </c>
      <c r="O1220" s="5">
        <v>400</v>
      </c>
      <c r="P1220" s="5">
        <v>1960</v>
      </c>
      <c r="Q1220" s="5">
        <v>1960</v>
      </c>
      <c r="V1220" s="5">
        <v>0</v>
      </c>
      <c r="W1220" s="5" t="s">
        <v>73</v>
      </c>
      <c r="Y1220" s="5">
        <v>262</v>
      </c>
      <c r="AC1220" s="5">
        <v>150000000</v>
      </c>
      <c r="AD1220" s="5" t="s">
        <v>92</v>
      </c>
      <c r="AJ1220" s="5" t="s">
        <v>600</v>
      </c>
    </row>
    <row r="1221" spans="1:36" x14ac:dyDescent="0.25">
      <c r="A1221" s="5" t="s">
        <v>1082</v>
      </c>
      <c r="B1221" s="5" t="s">
        <v>1686</v>
      </c>
      <c r="C1221" s="5" t="s">
        <v>1686</v>
      </c>
      <c r="D1221" s="5" t="s">
        <v>1884</v>
      </c>
      <c r="E1221" s="5">
        <v>10.515561</v>
      </c>
      <c r="F1221" s="5">
        <v>76.533439000000001</v>
      </c>
      <c r="M1221" s="5">
        <v>3</v>
      </c>
      <c r="P1221" s="5">
        <v>1963</v>
      </c>
      <c r="Q1221" s="5">
        <v>1963</v>
      </c>
      <c r="V1221" s="5">
        <v>0</v>
      </c>
      <c r="W1221" s="5" t="s">
        <v>73</v>
      </c>
      <c r="AJ1221" s="5" t="s">
        <v>1804</v>
      </c>
    </row>
    <row r="1222" spans="1:36" x14ac:dyDescent="0.25">
      <c r="A1222" s="5" t="s">
        <v>561</v>
      </c>
      <c r="B1222" s="5" t="s">
        <v>1686</v>
      </c>
      <c r="C1222" s="5" t="s">
        <v>1686</v>
      </c>
      <c r="D1222" s="5" t="s">
        <v>1890</v>
      </c>
      <c r="E1222" s="5">
        <v>46.196683</v>
      </c>
      <c r="F1222" s="5">
        <v>8.8480620000000005</v>
      </c>
      <c r="G1222" s="5">
        <v>1963</v>
      </c>
      <c r="M1222" s="5">
        <v>3</v>
      </c>
      <c r="P1222" s="7" t="s">
        <v>1891</v>
      </c>
      <c r="Q1222" s="5">
        <v>1965</v>
      </c>
      <c r="V1222" s="5">
        <v>0</v>
      </c>
      <c r="W1222" s="5" t="s">
        <v>44</v>
      </c>
      <c r="Y1222" s="5">
        <v>220</v>
      </c>
      <c r="Z1222" s="14">
        <v>1.6</v>
      </c>
      <c r="AC1222" s="5">
        <v>86000000</v>
      </c>
      <c r="AD1222" s="5" t="s">
        <v>92</v>
      </c>
      <c r="AJ1222" s="5" t="s">
        <v>1702</v>
      </c>
    </row>
    <row r="1223" spans="1:36" x14ac:dyDescent="0.25">
      <c r="A1223" s="5" t="s">
        <v>1894</v>
      </c>
      <c r="B1223" s="5" t="s">
        <v>1686</v>
      </c>
      <c r="C1223" s="5" t="s">
        <v>1686</v>
      </c>
      <c r="D1223" s="5" t="s">
        <v>1895</v>
      </c>
      <c r="E1223" s="5">
        <v>42.733994000000003</v>
      </c>
      <c r="F1223" s="5">
        <v>18.4969</v>
      </c>
      <c r="G1223" s="5">
        <v>1967</v>
      </c>
      <c r="M1223" s="5">
        <v>3</v>
      </c>
      <c r="P1223" s="5">
        <v>1967</v>
      </c>
      <c r="Q1223" s="5">
        <v>1967</v>
      </c>
      <c r="V1223" s="5">
        <v>0</v>
      </c>
      <c r="W1223" s="5" t="s">
        <v>103</v>
      </c>
      <c r="Y1223" s="5">
        <v>123</v>
      </c>
      <c r="AC1223" s="5">
        <v>1280000000</v>
      </c>
      <c r="AD1223" s="5" t="s">
        <v>92</v>
      </c>
      <c r="AJ1223" s="5" t="s">
        <v>1714</v>
      </c>
    </row>
    <row r="1224" spans="1:36" x14ac:dyDescent="0.25">
      <c r="A1224" s="5" t="s">
        <v>678</v>
      </c>
      <c r="B1224" s="5" t="s">
        <v>1686</v>
      </c>
      <c r="C1224" s="5" t="s">
        <v>1686</v>
      </c>
      <c r="D1224" s="5" t="s">
        <v>1896</v>
      </c>
      <c r="E1224" s="5">
        <v>38.202010000000001</v>
      </c>
      <c r="F1224" s="5">
        <v>140.697171</v>
      </c>
      <c r="G1224" s="5">
        <v>1970</v>
      </c>
      <c r="M1224" s="5">
        <v>3</v>
      </c>
      <c r="P1224" s="5">
        <v>1970</v>
      </c>
      <c r="Q1224" s="5">
        <v>1970</v>
      </c>
      <c r="V1224" s="5">
        <v>0</v>
      </c>
      <c r="W1224" s="5" t="s">
        <v>73</v>
      </c>
      <c r="Y1224" s="5">
        <v>47</v>
      </c>
      <c r="Z1224" s="14">
        <v>3.9</v>
      </c>
      <c r="AC1224" s="5">
        <v>45000000</v>
      </c>
      <c r="AD1224" s="5" t="s">
        <v>92</v>
      </c>
      <c r="AJ1224" s="5" t="s">
        <v>1714</v>
      </c>
    </row>
    <row r="1225" spans="1:36" x14ac:dyDescent="0.25">
      <c r="A1225" s="5" t="s">
        <v>153</v>
      </c>
      <c r="B1225" s="5" t="s">
        <v>1686</v>
      </c>
      <c r="C1225" s="5" t="s">
        <v>1686</v>
      </c>
      <c r="D1225" s="5" t="s">
        <v>1892</v>
      </c>
      <c r="E1225" s="5">
        <v>29.780163000000002</v>
      </c>
      <c r="F1225" s="5">
        <v>120.877771</v>
      </c>
      <c r="G1225" s="5">
        <v>1970</v>
      </c>
      <c r="I1225" s="6">
        <v>26226</v>
      </c>
      <c r="M1225" s="5">
        <v>3</v>
      </c>
      <c r="N1225" s="5" t="s">
        <v>1691</v>
      </c>
      <c r="P1225" s="7">
        <v>26226</v>
      </c>
      <c r="Q1225" s="5">
        <v>1971</v>
      </c>
      <c r="T1225" s="5" t="s">
        <v>2764</v>
      </c>
      <c r="V1225" s="5">
        <v>0</v>
      </c>
      <c r="W1225" s="5" t="s">
        <v>44</v>
      </c>
      <c r="Y1225" s="5">
        <v>50</v>
      </c>
      <c r="AC1225" s="5">
        <v>16000000</v>
      </c>
      <c r="AD1225" s="5" t="s">
        <v>92</v>
      </c>
      <c r="AJ1225" s="5" t="s">
        <v>2845</v>
      </c>
    </row>
    <row r="1226" spans="1:36" x14ac:dyDescent="0.25">
      <c r="A1226" s="5" t="s">
        <v>784</v>
      </c>
      <c r="B1226" s="5" t="s">
        <v>1686</v>
      </c>
      <c r="C1226" s="5" t="s">
        <v>1686</v>
      </c>
      <c r="D1226" s="5" t="s">
        <v>2202</v>
      </c>
      <c r="E1226" s="5">
        <v>-25.138631</v>
      </c>
      <c r="F1226" s="5">
        <v>-48.874811000000001</v>
      </c>
      <c r="G1226" s="5" t="s">
        <v>2203</v>
      </c>
      <c r="M1226" s="5">
        <v>3</v>
      </c>
      <c r="N1226" s="5" t="s">
        <v>65</v>
      </c>
      <c r="P1226" s="7">
        <v>26074</v>
      </c>
      <c r="Q1226" s="5">
        <v>1971</v>
      </c>
      <c r="V1226" s="5">
        <v>0</v>
      </c>
      <c r="W1226" s="5" t="s">
        <v>44</v>
      </c>
      <c r="Y1226" s="5">
        <v>61</v>
      </c>
      <c r="AC1226" s="5">
        <v>180000000</v>
      </c>
      <c r="AD1226" s="5" t="s">
        <v>92</v>
      </c>
      <c r="AJ1226" s="5" t="s">
        <v>2200</v>
      </c>
    </row>
    <row r="1227" spans="1:36" x14ac:dyDescent="0.25">
      <c r="A1227" s="5" t="s">
        <v>784</v>
      </c>
      <c r="B1227" s="5" t="s">
        <v>1686</v>
      </c>
      <c r="C1227" s="5" t="s">
        <v>1686</v>
      </c>
      <c r="D1227" s="5" t="s">
        <v>1897</v>
      </c>
      <c r="E1227" s="5">
        <v>-23.367730000000002</v>
      </c>
      <c r="F1227" s="5">
        <v>-45.659908999999999</v>
      </c>
      <c r="G1227" s="5" t="s">
        <v>2204</v>
      </c>
      <c r="M1227" s="5">
        <v>3</v>
      </c>
      <c r="N1227" s="5" t="s">
        <v>808</v>
      </c>
      <c r="P1227" s="7">
        <v>28445</v>
      </c>
      <c r="Q1227" s="5">
        <v>1977</v>
      </c>
      <c r="V1227" s="5">
        <v>0</v>
      </c>
      <c r="W1227" s="5" t="s">
        <v>44</v>
      </c>
      <c r="Y1227" s="5" t="s">
        <v>2205</v>
      </c>
      <c r="AC1227" s="5">
        <v>4740000000</v>
      </c>
      <c r="AD1227" s="5" t="s">
        <v>92</v>
      </c>
      <c r="AJ1227" s="5" t="s">
        <v>2194</v>
      </c>
    </row>
    <row r="1228" spans="1:36" x14ac:dyDescent="0.25">
      <c r="A1228" s="5" t="s">
        <v>784</v>
      </c>
      <c r="B1228" s="5" t="s">
        <v>1686</v>
      </c>
      <c r="C1228" s="5" t="s">
        <v>1686</v>
      </c>
      <c r="D1228" s="5" t="s">
        <v>1880</v>
      </c>
      <c r="E1228" s="5">
        <v>-29.365732999999999</v>
      </c>
      <c r="F1228" s="5">
        <v>-54.503808999999997</v>
      </c>
      <c r="G1228" s="5" t="s">
        <v>1881</v>
      </c>
      <c r="M1228" s="5">
        <v>3</v>
      </c>
      <c r="N1228" s="5" t="s">
        <v>808</v>
      </c>
      <c r="P1228" s="7">
        <v>31398</v>
      </c>
      <c r="Q1228" s="5">
        <v>1985</v>
      </c>
      <c r="V1228" s="5">
        <v>0</v>
      </c>
      <c r="W1228" s="5" t="s">
        <v>44</v>
      </c>
      <c r="Y1228" s="5">
        <v>67</v>
      </c>
      <c r="AC1228" s="5">
        <v>1500000000</v>
      </c>
      <c r="AD1228" s="5" t="s">
        <v>92</v>
      </c>
      <c r="AJ1228" s="5" t="s">
        <v>2195</v>
      </c>
    </row>
    <row r="1229" spans="1:36" x14ac:dyDescent="0.25">
      <c r="A1229" s="5" t="s">
        <v>1898</v>
      </c>
      <c r="B1229" s="5" t="s">
        <v>1686</v>
      </c>
      <c r="C1229" s="5" t="s">
        <v>1686</v>
      </c>
      <c r="D1229" s="5" t="s">
        <v>1899</v>
      </c>
      <c r="E1229" s="5">
        <v>34.727518000000003</v>
      </c>
      <c r="F1229" s="5">
        <v>32.918002000000001</v>
      </c>
      <c r="M1229" s="5">
        <v>3</v>
      </c>
      <c r="P1229" s="7" t="s">
        <v>1900</v>
      </c>
      <c r="Q1229" s="5">
        <v>1994</v>
      </c>
      <c r="V1229" s="5">
        <v>0</v>
      </c>
      <c r="W1229" s="5" t="s">
        <v>73</v>
      </c>
      <c r="AJ1229" s="5" t="s">
        <v>1714</v>
      </c>
    </row>
    <row r="1230" spans="1:36" x14ac:dyDescent="0.25">
      <c r="A1230" s="5" t="s">
        <v>784</v>
      </c>
      <c r="B1230" s="5" t="s">
        <v>1686</v>
      </c>
      <c r="C1230" s="5" t="s">
        <v>1686</v>
      </c>
      <c r="D1230" s="5" t="s">
        <v>2381</v>
      </c>
      <c r="E1230" s="5">
        <v>-5.6692359999999997</v>
      </c>
      <c r="F1230" s="5">
        <v>-36.886347000000001</v>
      </c>
      <c r="G1230" s="5">
        <v>1985</v>
      </c>
      <c r="M1230" s="5">
        <v>3</v>
      </c>
      <c r="N1230" s="5" t="s">
        <v>1816</v>
      </c>
      <c r="P1230" s="7">
        <v>34572</v>
      </c>
      <c r="Q1230" s="5">
        <v>1994</v>
      </c>
      <c r="V1230" s="5">
        <v>0</v>
      </c>
      <c r="W1230" s="5" t="s">
        <v>44</v>
      </c>
      <c r="Y1230" s="5">
        <v>31</v>
      </c>
      <c r="AC1230" s="5">
        <v>2400000000</v>
      </c>
      <c r="AD1230" s="5" t="s">
        <v>92</v>
      </c>
      <c r="AJ1230" s="5" t="s">
        <v>2194</v>
      </c>
    </row>
    <row r="1231" spans="1:36" ht="16.5" x14ac:dyDescent="0.3">
      <c r="A1231" s="5" t="s">
        <v>784</v>
      </c>
      <c r="B1231" s="5" t="s">
        <v>1686</v>
      </c>
      <c r="C1231" s="5" t="s">
        <v>1686</v>
      </c>
      <c r="D1231" s="5" t="s">
        <v>2382</v>
      </c>
      <c r="E1231" s="5">
        <v>-16.737171</v>
      </c>
      <c r="F1231" s="5">
        <v>-42.575279000000002</v>
      </c>
      <c r="G1231" s="6">
        <v>38693</v>
      </c>
      <c r="I1231" s="6">
        <v>38694</v>
      </c>
      <c r="K1231" s="5" t="s">
        <v>462</v>
      </c>
      <c r="M1231" s="5">
        <v>3</v>
      </c>
      <c r="N1231" s="5" t="s">
        <v>65</v>
      </c>
      <c r="P1231" s="7">
        <v>38851</v>
      </c>
      <c r="Q1231" s="5">
        <v>2006</v>
      </c>
      <c r="V1231" s="5">
        <v>0</v>
      </c>
      <c r="W1231" s="5" t="s">
        <v>44</v>
      </c>
      <c r="Y1231" s="5">
        <v>208</v>
      </c>
      <c r="AC1231" s="5">
        <v>5960000000</v>
      </c>
      <c r="AD1231" s="5" t="s">
        <v>92</v>
      </c>
      <c r="AJ1231" s="5" t="s">
        <v>2206</v>
      </c>
    </row>
    <row r="1232" spans="1:36" x14ac:dyDescent="0.25">
      <c r="A1232" s="5" t="s">
        <v>1082</v>
      </c>
      <c r="B1232" s="5" t="s">
        <v>1686</v>
      </c>
      <c r="C1232" s="5" t="s">
        <v>1686</v>
      </c>
      <c r="D1232" s="5" t="s">
        <v>1882</v>
      </c>
      <c r="E1232" s="5">
        <v>24.202964999999999</v>
      </c>
      <c r="F1232" s="5">
        <v>83.005679999999998</v>
      </c>
      <c r="G1232" s="5">
        <v>1962</v>
      </c>
      <c r="L1232" s="5" t="s">
        <v>2383</v>
      </c>
      <c r="M1232" s="5">
        <v>3</v>
      </c>
      <c r="V1232" s="5">
        <v>0</v>
      </c>
      <c r="W1232" s="5" t="s">
        <v>73</v>
      </c>
      <c r="Y1232" s="5">
        <v>92</v>
      </c>
      <c r="Z1232" s="5">
        <v>675</v>
      </c>
      <c r="AC1232" s="5">
        <v>10600000000</v>
      </c>
      <c r="AD1232" s="5" t="s">
        <v>92</v>
      </c>
      <c r="AJ1232" s="5" t="s">
        <v>1883</v>
      </c>
    </row>
    <row r="1233" spans="1:36" x14ac:dyDescent="0.25">
      <c r="A1233" s="5" t="s">
        <v>1082</v>
      </c>
      <c r="B1233" s="5" t="s">
        <v>1686</v>
      </c>
      <c r="C1233" s="5" t="s">
        <v>1686</v>
      </c>
      <c r="D1233" s="5" t="s">
        <v>1885</v>
      </c>
      <c r="E1233" s="5">
        <v>10.380141999999999</v>
      </c>
      <c r="F1233" s="5">
        <v>76.764724999999999</v>
      </c>
      <c r="M1233" s="5">
        <v>3</v>
      </c>
      <c r="V1233" s="5">
        <v>0</v>
      </c>
      <c r="W1233" s="5" t="s">
        <v>73</v>
      </c>
      <c r="AC1233" s="5">
        <v>69165000</v>
      </c>
      <c r="AD1233" s="5" t="s">
        <v>92</v>
      </c>
      <c r="AJ1233" s="5" t="s">
        <v>1804</v>
      </c>
    </row>
    <row r="1234" spans="1:36" x14ac:dyDescent="0.25">
      <c r="A1234" s="5" t="s">
        <v>1082</v>
      </c>
      <c r="B1234" s="5" t="s">
        <v>1686</v>
      </c>
      <c r="C1234" s="5" t="s">
        <v>1686</v>
      </c>
      <c r="D1234" s="5" t="s">
        <v>1886</v>
      </c>
      <c r="E1234" s="5">
        <v>21.249341999999999</v>
      </c>
      <c r="F1234" s="5">
        <v>73.590845999999999</v>
      </c>
      <c r="G1234" s="5">
        <v>1972</v>
      </c>
      <c r="M1234" s="5">
        <v>3</v>
      </c>
      <c r="V1234" s="5">
        <v>0</v>
      </c>
      <c r="W1234" s="5" t="s">
        <v>73</v>
      </c>
      <c r="Y1234" s="5">
        <v>81</v>
      </c>
      <c r="AC1234" s="5">
        <v>7414000000</v>
      </c>
      <c r="AD1234" s="5" t="s">
        <v>92</v>
      </c>
      <c r="AJ1234" s="5" t="s">
        <v>1804</v>
      </c>
    </row>
    <row r="1235" spans="1:36" x14ac:dyDescent="0.25">
      <c r="A1235" s="5" t="s">
        <v>1706</v>
      </c>
      <c r="B1235" s="5" t="s">
        <v>1686</v>
      </c>
      <c r="C1235" s="5" t="s">
        <v>1686</v>
      </c>
      <c r="D1235" s="5" t="s">
        <v>1887</v>
      </c>
      <c r="E1235" s="5">
        <v>23.248055999999998</v>
      </c>
      <c r="F1235" s="5">
        <v>120.53666800000001</v>
      </c>
      <c r="G1235" s="5">
        <v>1973</v>
      </c>
      <c r="M1235" s="5">
        <v>3</v>
      </c>
      <c r="V1235" s="5">
        <v>0</v>
      </c>
      <c r="W1235" s="14" t="s">
        <v>44</v>
      </c>
      <c r="X1235" s="14"/>
      <c r="Y1235" s="5">
        <v>128</v>
      </c>
      <c r="Z1235" s="14"/>
      <c r="AC1235" s="5">
        <v>708000000</v>
      </c>
      <c r="AD1235" s="5" t="s">
        <v>92</v>
      </c>
      <c r="AJ1235" s="5" t="s">
        <v>1804</v>
      </c>
    </row>
    <row r="1236" spans="1:36" x14ac:dyDescent="0.25">
      <c r="A1236" s="5" t="s">
        <v>1835</v>
      </c>
      <c r="B1236" s="5" t="s">
        <v>1686</v>
      </c>
      <c r="C1236" s="5" t="s">
        <v>1686</v>
      </c>
      <c r="D1236" s="5" t="s">
        <v>1902</v>
      </c>
      <c r="E1236" s="5">
        <v>34.090162999999997</v>
      </c>
      <c r="F1236" s="5">
        <v>72.697706999999994</v>
      </c>
      <c r="G1236" s="5" t="s">
        <v>1903</v>
      </c>
      <c r="M1236" s="5">
        <v>3</v>
      </c>
      <c r="V1236" s="5">
        <v>0</v>
      </c>
      <c r="W1236" s="5" t="s">
        <v>90</v>
      </c>
      <c r="Y1236" s="5">
        <v>143</v>
      </c>
      <c r="Z1236" s="5">
        <v>100</v>
      </c>
      <c r="AC1236" s="5">
        <v>13700000000.000002</v>
      </c>
      <c r="AD1236" s="5" t="s">
        <v>92</v>
      </c>
      <c r="AJ1236" s="5" t="s">
        <v>1904</v>
      </c>
    </row>
    <row r="1237" spans="1:36" x14ac:dyDescent="0.25">
      <c r="A1237" s="5" t="s">
        <v>51</v>
      </c>
      <c r="B1237" s="5" t="s">
        <v>1686</v>
      </c>
      <c r="C1237" s="5" t="s">
        <v>1686</v>
      </c>
      <c r="D1237" s="5" t="s">
        <v>1905</v>
      </c>
      <c r="E1237" s="5">
        <v>38.513533000000002</v>
      </c>
      <c r="F1237" s="5">
        <v>-122.104609</v>
      </c>
      <c r="G1237" s="5">
        <v>1977</v>
      </c>
      <c r="M1237" s="5">
        <v>2.9</v>
      </c>
      <c r="O1237" s="5">
        <v>2000</v>
      </c>
      <c r="P1237" s="7" t="s">
        <v>1906</v>
      </c>
      <c r="Q1237" s="5">
        <v>1978</v>
      </c>
      <c r="V1237" s="5">
        <v>0</v>
      </c>
      <c r="W1237" s="5" t="s">
        <v>90</v>
      </c>
      <c r="Y1237" s="5">
        <v>129</v>
      </c>
      <c r="Z1237" s="14">
        <v>84</v>
      </c>
      <c r="AC1237" s="5">
        <v>500000000</v>
      </c>
      <c r="AD1237" s="5" t="s">
        <v>92</v>
      </c>
      <c r="AJ1237" s="5" t="s">
        <v>1704</v>
      </c>
    </row>
    <row r="1238" spans="1:36" x14ac:dyDescent="0.25">
      <c r="A1238" s="5" t="s">
        <v>153</v>
      </c>
      <c r="B1238" s="5" t="s">
        <v>1686</v>
      </c>
      <c r="C1238" s="5" t="s">
        <v>1686</v>
      </c>
      <c r="D1238" s="5" t="s">
        <v>2846</v>
      </c>
      <c r="I1238" s="5" t="s">
        <v>2847</v>
      </c>
      <c r="M1238" s="5">
        <v>2.9</v>
      </c>
      <c r="N1238" s="5" t="s">
        <v>65</v>
      </c>
      <c r="P1238" s="5" t="s">
        <v>1479</v>
      </c>
      <c r="Q1238" s="5">
        <v>1984</v>
      </c>
      <c r="T1238" s="5" t="s">
        <v>2158</v>
      </c>
      <c r="V1238" s="5">
        <v>0</v>
      </c>
      <c r="W1238" s="14" t="s">
        <v>44</v>
      </c>
      <c r="Y1238" s="5">
        <v>30.75</v>
      </c>
      <c r="AC1238" s="5">
        <v>11250000</v>
      </c>
      <c r="AD1238" s="5" t="s">
        <v>92</v>
      </c>
      <c r="AJ1238" s="5" t="s">
        <v>2848</v>
      </c>
    </row>
    <row r="1239" spans="1:36" x14ac:dyDescent="0.25">
      <c r="A1239" s="5" t="s">
        <v>153</v>
      </c>
      <c r="B1239" s="5" t="s">
        <v>1686</v>
      </c>
      <c r="C1239" s="5" t="s">
        <v>1686</v>
      </c>
      <c r="D1239" s="5" t="s">
        <v>1910</v>
      </c>
      <c r="E1239" s="5">
        <v>30.688717</v>
      </c>
      <c r="F1239" s="5">
        <v>106.093777</v>
      </c>
      <c r="G1239" s="5">
        <v>1969</v>
      </c>
      <c r="I1239" s="6">
        <v>25697</v>
      </c>
      <c r="M1239" s="5">
        <v>2.8</v>
      </c>
      <c r="N1239" s="5" t="s">
        <v>1691</v>
      </c>
      <c r="P1239" s="7">
        <v>27235</v>
      </c>
      <c r="Q1239" s="5">
        <v>1974</v>
      </c>
      <c r="T1239" s="5" t="s">
        <v>2796</v>
      </c>
      <c r="V1239" s="5">
        <v>0</v>
      </c>
      <c r="W1239" s="14" t="s">
        <v>44</v>
      </c>
      <c r="Y1239" s="5">
        <v>45</v>
      </c>
      <c r="AC1239" s="5">
        <v>15000000</v>
      </c>
      <c r="AD1239" s="5" t="s">
        <v>92</v>
      </c>
      <c r="AJ1239" s="5" t="s">
        <v>2845</v>
      </c>
    </row>
    <row r="1240" spans="1:36" x14ac:dyDescent="0.25">
      <c r="A1240" s="5" t="s">
        <v>153</v>
      </c>
      <c r="B1240" s="5" t="s">
        <v>1686</v>
      </c>
      <c r="C1240" s="5" t="s">
        <v>1686</v>
      </c>
      <c r="D1240" s="5" t="s">
        <v>1911</v>
      </c>
      <c r="E1240" s="5">
        <v>28.690047</v>
      </c>
      <c r="F1240" s="5">
        <v>118.836234</v>
      </c>
      <c r="G1240" s="5">
        <v>1979</v>
      </c>
      <c r="M1240" s="5">
        <v>2.8</v>
      </c>
      <c r="P1240" s="5" t="s">
        <v>2849</v>
      </c>
      <c r="Q1240" s="5">
        <v>1979</v>
      </c>
      <c r="V1240" s="5">
        <v>0</v>
      </c>
      <c r="W1240" s="14" t="s">
        <v>44</v>
      </c>
      <c r="Y1240" s="5">
        <v>129</v>
      </c>
      <c r="AC1240" s="5">
        <v>2060000000</v>
      </c>
      <c r="AD1240" s="5" t="s">
        <v>92</v>
      </c>
      <c r="AJ1240" s="5" t="s">
        <v>2850</v>
      </c>
    </row>
    <row r="1241" spans="1:36" x14ac:dyDescent="0.25">
      <c r="A1241" s="5" t="s">
        <v>377</v>
      </c>
      <c r="B1241" s="5" t="s">
        <v>1686</v>
      </c>
      <c r="C1241" s="5" t="s">
        <v>1686</v>
      </c>
      <c r="D1241" s="5" t="s">
        <v>1908</v>
      </c>
      <c r="E1241" s="5">
        <v>45.447049999999997</v>
      </c>
      <c r="F1241" s="5">
        <v>23.768426999999999</v>
      </c>
      <c r="M1241" s="5">
        <v>2.8</v>
      </c>
      <c r="V1241" s="5">
        <v>0</v>
      </c>
      <c r="W1241" s="14" t="s">
        <v>44</v>
      </c>
      <c r="AJ1241" s="5" t="s">
        <v>1804</v>
      </c>
    </row>
    <row r="1242" spans="1:36" x14ac:dyDescent="0.25">
      <c r="A1242" s="5" t="s">
        <v>377</v>
      </c>
      <c r="B1242" s="5" t="s">
        <v>1686</v>
      </c>
      <c r="C1242" s="5" t="s">
        <v>1686</v>
      </c>
      <c r="D1242" s="5" t="s">
        <v>1909</v>
      </c>
      <c r="E1242" s="5">
        <v>45.366607999999999</v>
      </c>
      <c r="F1242" s="5">
        <v>24.630610999999998</v>
      </c>
      <c r="M1242" s="5">
        <v>2.8</v>
      </c>
      <c r="V1242" s="5">
        <v>0</v>
      </c>
      <c r="W1242" s="14" t="s">
        <v>44</v>
      </c>
      <c r="AC1242" s="5">
        <v>480000000</v>
      </c>
      <c r="AD1242" s="5" t="s">
        <v>92</v>
      </c>
      <c r="AJ1242" s="5" t="s">
        <v>1804</v>
      </c>
    </row>
    <row r="1243" spans="1:36" x14ac:dyDescent="0.25">
      <c r="A1243" s="5" t="s">
        <v>153</v>
      </c>
      <c r="B1243" s="5" t="s">
        <v>1686</v>
      </c>
      <c r="C1243" s="5" t="s">
        <v>1686</v>
      </c>
      <c r="D1243" s="5" t="s">
        <v>2851</v>
      </c>
      <c r="E1243" s="5">
        <v>26.855464000000001</v>
      </c>
      <c r="F1243" s="5">
        <v>106.15508</v>
      </c>
      <c r="G1243" s="5" t="s">
        <v>1307</v>
      </c>
      <c r="M1243" s="5">
        <v>2.8</v>
      </c>
      <c r="N1243" s="5" t="s">
        <v>1691</v>
      </c>
      <c r="O1243" s="5" t="s">
        <v>343</v>
      </c>
      <c r="P1243" s="7">
        <v>34789</v>
      </c>
      <c r="Q1243" s="5">
        <v>1995</v>
      </c>
      <c r="T1243" s="5" t="s">
        <v>2803</v>
      </c>
      <c r="V1243" s="5">
        <v>0</v>
      </c>
      <c r="W1243" s="14" t="s">
        <v>44</v>
      </c>
      <c r="Y1243" s="5">
        <v>173</v>
      </c>
      <c r="AC1243" s="5">
        <v>1024999999.9999999</v>
      </c>
      <c r="AD1243" s="5" t="s">
        <v>92</v>
      </c>
      <c r="AI1243" s="5" t="s">
        <v>2852</v>
      </c>
      <c r="AJ1243" s="5" t="s">
        <v>2853</v>
      </c>
    </row>
    <row r="1244" spans="1:36" x14ac:dyDescent="0.25">
      <c r="A1244" s="5" t="s">
        <v>153</v>
      </c>
      <c r="B1244" s="5" t="s">
        <v>1686</v>
      </c>
      <c r="C1244" s="5" t="s">
        <v>1686</v>
      </c>
      <c r="D1244" s="5" t="s">
        <v>2854</v>
      </c>
      <c r="M1244" s="5">
        <v>2.8</v>
      </c>
      <c r="N1244" s="5" t="s">
        <v>65</v>
      </c>
      <c r="P1244" s="7">
        <v>37776</v>
      </c>
      <c r="Q1244" s="5">
        <v>2003</v>
      </c>
      <c r="T1244" s="5" t="s">
        <v>2855</v>
      </c>
      <c r="V1244" s="5">
        <v>0</v>
      </c>
      <c r="W1244" s="14" t="s">
        <v>44</v>
      </c>
      <c r="Y1244" s="5">
        <v>129.5</v>
      </c>
      <c r="AC1244" s="5">
        <v>531000000</v>
      </c>
      <c r="AD1244" s="5" t="s">
        <v>92</v>
      </c>
      <c r="AJ1244" s="5" t="s">
        <v>2856</v>
      </c>
    </row>
    <row r="1245" spans="1:36" x14ac:dyDescent="0.25">
      <c r="A1245" s="5" t="s">
        <v>678</v>
      </c>
      <c r="B1245" s="5" t="s">
        <v>1686</v>
      </c>
      <c r="C1245" s="5" t="s">
        <v>1686</v>
      </c>
      <c r="D1245" s="5" t="s">
        <v>1914</v>
      </c>
      <c r="E1245" s="5">
        <v>36.473962</v>
      </c>
      <c r="F1245" s="5">
        <v>137.69009500000001</v>
      </c>
      <c r="G1245" s="5">
        <v>1979</v>
      </c>
      <c r="M1245" s="5">
        <v>2.7</v>
      </c>
      <c r="O1245" s="5">
        <v>3200</v>
      </c>
      <c r="P1245" s="5">
        <v>1982</v>
      </c>
      <c r="Q1245" s="5">
        <v>1982</v>
      </c>
      <c r="V1245" s="5">
        <v>0</v>
      </c>
      <c r="W1245" s="5" t="s">
        <v>73</v>
      </c>
      <c r="Y1245" s="5">
        <v>176</v>
      </c>
      <c r="AC1245" s="5">
        <v>11400000</v>
      </c>
      <c r="AD1245" s="5" t="s">
        <v>92</v>
      </c>
      <c r="AJ1245" s="5" t="s">
        <v>600</v>
      </c>
    </row>
    <row r="1246" spans="1:36" x14ac:dyDescent="0.25">
      <c r="A1246" s="5" t="s">
        <v>51</v>
      </c>
      <c r="B1246" s="5" t="s">
        <v>1686</v>
      </c>
      <c r="C1246" s="5" t="s">
        <v>1686</v>
      </c>
      <c r="D1246" s="5" t="s">
        <v>1912</v>
      </c>
      <c r="E1246" s="5">
        <v>36.665903999999998</v>
      </c>
      <c r="F1246" s="5">
        <v>-106.706093</v>
      </c>
      <c r="G1246" s="5">
        <v>1971</v>
      </c>
      <c r="I1246" s="5">
        <v>1976</v>
      </c>
      <c r="J1246" s="5">
        <v>1984</v>
      </c>
      <c r="L1246" s="5">
        <v>264</v>
      </c>
      <c r="M1246" s="5">
        <v>2.7</v>
      </c>
      <c r="N1246" s="5" t="s">
        <v>65</v>
      </c>
      <c r="U1246" s="5">
        <v>7500</v>
      </c>
      <c r="V1246" s="5">
        <v>0</v>
      </c>
      <c r="W1246" s="5" t="s">
        <v>44</v>
      </c>
      <c r="Y1246" s="5">
        <v>82</v>
      </c>
      <c r="AC1246" s="5">
        <v>494626224</v>
      </c>
      <c r="AD1246" s="5" t="s">
        <v>92</v>
      </c>
      <c r="AJ1246" s="5" t="s">
        <v>1913</v>
      </c>
    </row>
    <row r="1247" spans="1:36" x14ac:dyDescent="0.25">
      <c r="A1247" s="5" t="s">
        <v>1795</v>
      </c>
      <c r="B1247" s="5" t="s">
        <v>1686</v>
      </c>
      <c r="C1247" s="5" t="s">
        <v>1686</v>
      </c>
      <c r="D1247" s="5" t="s">
        <v>1915</v>
      </c>
      <c r="E1247" s="5">
        <v>42.251508000000001</v>
      </c>
      <c r="F1247" s="5">
        <v>20.042756000000001</v>
      </c>
      <c r="G1247" s="5">
        <v>1978</v>
      </c>
      <c r="M1247" s="5">
        <v>2.6</v>
      </c>
      <c r="P1247" s="5">
        <v>1981</v>
      </c>
      <c r="Q1247" s="5">
        <v>1981</v>
      </c>
      <c r="V1247" s="5">
        <v>0</v>
      </c>
      <c r="W1247" s="5" t="s">
        <v>73</v>
      </c>
      <c r="Y1247" s="5">
        <v>167</v>
      </c>
      <c r="AC1247" s="5">
        <v>2800000000</v>
      </c>
      <c r="AD1247" s="5" t="s">
        <v>92</v>
      </c>
      <c r="AJ1247" s="5" t="s">
        <v>1714</v>
      </c>
    </row>
    <row r="1248" spans="1:36" x14ac:dyDescent="0.25">
      <c r="A1248" s="5" t="s">
        <v>153</v>
      </c>
      <c r="B1248" s="5" t="s">
        <v>1686</v>
      </c>
      <c r="C1248" s="5" t="s">
        <v>1686</v>
      </c>
      <c r="D1248" s="5" t="s">
        <v>2857</v>
      </c>
      <c r="M1248" s="5">
        <v>2.6</v>
      </c>
      <c r="N1248" s="5" t="s">
        <v>65</v>
      </c>
      <c r="P1248" s="7">
        <v>35932</v>
      </c>
      <c r="Q1248" s="5">
        <v>1998</v>
      </c>
      <c r="T1248" s="5" t="s">
        <v>2760</v>
      </c>
      <c r="V1248" s="5">
        <v>0</v>
      </c>
      <c r="W1248" s="5" t="s">
        <v>44</v>
      </c>
      <c r="Y1248" s="5">
        <v>240</v>
      </c>
      <c r="AC1248" s="5">
        <v>5800000000</v>
      </c>
      <c r="AD1248" s="5" t="s">
        <v>92</v>
      </c>
      <c r="AJ1248" s="5" t="s">
        <v>2858</v>
      </c>
    </row>
    <row r="1249" spans="1:36" x14ac:dyDescent="0.25">
      <c r="A1249" s="5" t="s">
        <v>153</v>
      </c>
      <c r="B1249" s="5" t="s">
        <v>1686</v>
      </c>
      <c r="C1249" s="5" t="s">
        <v>1686</v>
      </c>
      <c r="D1249" s="5" t="s">
        <v>2859</v>
      </c>
      <c r="E1249" s="5">
        <v>30.468091999999999</v>
      </c>
      <c r="F1249" s="5">
        <v>111.138097</v>
      </c>
      <c r="I1249" s="5" t="s">
        <v>1315</v>
      </c>
      <c r="M1249" s="5">
        <v>2.6</v>
      </c>
      <c r="N1249" s="5" t="s">
        <v>1691</v>
      </c>
      <c r="P1249" s="7">
        <v>34119</v>
      </c>
      <c r="Q1249" s="5">
        <v>1993</v>
      </c>
      <c r="T1249" s="5" t="s">
        <v>2158</v>
      </c>
      <c r="V1249" s="5">
        <v>0</v>
      </c>
      <c r="W1249" s="5" t="s">
        <v>44</v>
      </c>
      <c r="Y1249" s="5">
        <v>151</v>
      </c>
      <c r="AC1249" s="5">
        <f>3.4*10^9</f>
        <v>3400000000</v>
      </c>
      <c r="AD1249" s="5" t="s">
        <v>92</v>
      </c>
      <c r="AI1249" s="5" t="s">
        <v>2860</v>
      </c>
      <c r="AJ1249" s="5" t="s">
        <v>2861</v>
      </c>
    </row>
    <row r="1250" spans="1:36" x14ac:dyDescent="0.25">
      <c r="A1250" s="5" t="s">
        <v>153</v>
      </c>
      <c r="B1250" s="5" t="s">
        <v>1686</v>
      </c>
      <c r="C1250" s="5" t="s">
        <v>1686</v>
      </c>
      <c r="D1250" s="5" t="s">
        <v>1919</v>
      </c>
      <c r="E1250" s="5">
        <v>29.197527000000001</v>
      </c>
      <c r="F1250" s="5">
        <v>111.178648</v>
      </c>
      <c r="G1250" s="5">
        <v>1970</v>
      </c>
      <c r="I1250" s="5" t="s">
        <v>2862</v>
      </c>
      <c r="M1250" s="5">
        <v>2.6</v>
      </c>
      <c r="N1250" s="5" t="s">
        <v>1691</v>
      </c>
      <c r="P1250" s="7">
        <v>27293</v>
      </c>
      <c r="Q1250" s="5">
        <v>1974</v>
      </c>
      <c r="T1250" s="5" t="s">
        <v>2796</v>
      </c>
      <c r="V1250" s="5">
        <v>0</v>
      </c>
      <c r="W1250" s="14" t="s">
        <v>44</v>
      </c>
      <c r="Y1250" s="5">
        <v>40.5</v>
      </c>
      <c r="AC1250" s="5">
        <v>612000000</v>
      </c>
      <c r="AD1250" s="5" t="s">
        <v>92</v>
      </c>
      <c r="AJ1250" s="5" t="s">
        <v>2863</v>
      </c>
    </row>
    <row r="1251" spans="1:36" x14ac:dyDescent="0.25">
      <c r="A1251" s="5" t="s">
        <v>784</v>
      </c>
      <c r="B1251" s="5" t="s">
        <v>1686</v>
      </c>
      <c r="C1251" s="5" t="s">
        <v>1686</v>
      </c>
      <c r="D1251" s="5" t="s">
        <v>2384</v>
      </c>
      <c r="E1251" s="5">
        <v>-27.277543999999999</v>
      </c>
      <c r="F1251" s="5">
        <v>-52.383454</v>
      </c>
      <c r="G1251" s="6">
        <v>36507</v>
      </c>
      <c r="M1251" s="5">
        <v>2.5</v>
      </c>
      <c r="N1251" s="5" t="s">
        <v>65</v>
      </c>
      <c r="P1251" s="7">
        <v>36509</v>
      </c>
      <c r="Q1251" s="5">
        <v>1999</v>
      </c>
      <c r="V1251" s="5">
        <v>0</v>
      </c>
      <c r="W1251" s="5" t="s">
        <v>44</v>
      </c>
      <c r="Y1251" s="5">
        <v>130</v>
      </c>
      <c r="AC1251" s="5">
        <v>5100000000</v>
      </c>
      <c r="AD1251" s="5" t="s">
        <v>92</v>
      </c>
      <c r="AJ1251" s="5" t="s">
        <v>2200</v>
      </c>
    </row>
    <row r="1252" spans="1:36" x14ac:dyDescent="0.25">
      <c r="A1252" s="5" t="s">
        <v>784</v>
      </c>
      <c r="B1252" s="5" t="s">
        <v>1686</v>
      </c>
      <c r="C1252" s="5" t="s">
        <v>1686</v>
      </c>
      <c r="D1252" s="5" t="s">
        <v>2207</v>
      </c>
      <c r="E1252" s="5">
        <v>-27.777052000000001</v>
      </c>
      <c r="F1252" s="5">
        <v>-51.190314000000001</v>
      </c>
      <c r="G1252" s="6">
        <v>38538</v>
      </c>
      <c r="M1252" s="5">
        <v>2.5</v>
      </c>
      <c r="N1252" s="5" t="s">
        <v>65</v>
      </c>
      <c r="P1252" s="7">
        <v>38635</v>
      </c>
      <c r="Q1252" s="5">
        <v>2005</v>
      </c>
      <c r="V1252" s="5">
        <v>0</v>
      </c>
      <c r="W1252" s="5" t="s">
        <v>44</v>
      </c>
      <c r="Y1252" s="5">
        <v>190</v>
      </c>
      <c r="AC1252" s="5">
        <v>5200000000</v>
      </c>
      <c r="AD1252" s="5" t="s">
        <v>92</v>
      </c>
      <c r="AJ1252" s="5" t="s">
        <v>2200</v>
      </c>
    </row>
    <row r="1253" spans="1:36" x14ac:dyDescent="0.25">
      <c r="A1253" s="5" t="s">
        <v>1082</v>
      </c>
      <c r="B1253" s="5" t="s">
        <v>1686</v>
      </c>
      <c r="C1253" s="5" t="s">
        <v>1686</v>
      </c>
      <c r="D1253" s="5" t="s">
        <v>1916</v>
      </c>
      <c r="E1253" s="5">
        <v>23.306107999999998</v>
      </c>
      <c r="F1253" s="5">
        <v>73.825463999999997</v>
      </c>
      <c r="G1253" s="5">
        <v>1989</v>
      </c>
      <c r="M1253" s="5">
        <v>2.5</v>
      </c>
      <c r="V1253" s="5">
        <v>0</v>
      </c>
      <c r="W1253" s="5" t="s">
        <v>73</v>
      </c>
      <c r="Y1253" s="5">
        <v>66</v>
      </c>
      <c r="AC1253" s="5">
        <v>1203000000</v>
      </c>
      <c r="AD1253" s="5" t="s">
        <v>92</v>
      </c>
      <c r="AJ1253" s="5" t="s">
        <v>1804</v>
      </c>
    </row>
    <row r="1254" spans="1:36" x14ac:dyDescent="0.25">
      <c r="A1254" s="5" t="s">
        <v>784</v>
      </c>
      <c r="B1254" s="5" t="s">
        <v>1686</v>
      </c>
      <c r="C1254" s="5" t="s">
        <v>1686</v>
      </c>
      <c r="D1254" s="5" t="s">
        <v>1917</v>
      </c>
      <c r="E1254" s="5">
        <v>-18.914283999999999</v>
      </c>
      <c r="F1254" s="5">
        <v>-48.039333999999997</v>
      </c>
      <c r="G1254" s="5" t="s">
        <v>1918</v>
      </c>
      <c r="M1254" s="5">
        <v>2.4</v>
      </c>
      <c r="N1254" s="5" t="s">
        <v>808</v>
      </c>
      <c r="P1254" s="7">
        <v>35892</v>
      </c>
      <c r="Q1254" s="5">
        <v>1998</v>
      </c>
      <c r="V1254" s="5">
        <v>0</v>
      </c>
      <c r="W1254" s="5" t="s">
        <v>44</v>
      </c>
      <c r="Y1254" s="5">
        <v>85</v>
      </c>
      <c r="AC1254" s="5">
        <v>1140000000</v>
      </c>
      <c r="AD1254" s="5" t="s">
        <v>92</v>
      </c>
      <c r="AJ1254" s="5" t="s">
        <v>2195</v>
      </c>
    </row>
    <row r="1255" spans="1:36" x14ac:dyDescent="0.25">
      <c r="A1255" s="5" t="s">
        <v>153</v>
      </c>
      <c r="B1255" s="5" t="s">
        <v>1686</v>
      </c>
      <c r="C1255" s="5" t="s">
        <v>1686</v>
      </c>
      <c r="D1255" s="5" t="s">
        <v>1920</v>
      </c>
      <c r="E1255" s="5">
        <v>24.785872999999999</v>
      </c>
      <c r="F1255" s="5">
        <v>113.21366999999999</v>
      </c>
      <c r="G1255" s="5">
        <v>1969</v>
      </c>
      <c r="I1255" s="5" t="s">
        <v>1300</v>
      </c>
      <c r="M1255" s="5">
        <v>2.2999999999999998</v>
      </c>
      <c r="N1255" s="5" t="s">
        <v>1691</v>
      </c>
      <c r="P1255" s="7">
        <v>25625</v>
      </c>
      <c r="Q1255" s="5">
        <v>1970</v>
      </c>
      <c r="T1255" s="5" t="s">
        <v>2764</v>
      </c>
      <c r="V1255" s="5">
        <v>0</v>
      </c>
      <c r="W1255" s="14" t="s">
        <v>44</v>
      </c>
      <c r="Y1255" s="5">
        <v>81.3</v>
      </c>
      <c r="AC1255" s="5">
        <f>1.05*10^9</f>
        <v>1050000000</v>
      </c>
      <c r="AD1255" s="5" t="s">
        <v>92</v>
      </c>
      <c r="AJ1255" s="5" t="s">
        <v>2864</v>
      </c>
    </row>
    <row r="1256" spans="1:36" x14ac:dyDescent="0.25">
      <c r="A1256" s="5" t="s">
        <v>784</v>
      </c>
      <c r="B1256" s="5" t="s">
        <v>1686</v>
      </c>
      <c r="C1256" s="5" t="s">
        <v>1686</v>
      </c>
      <c r="D1256" s="5" t="s">
        <v>1941</v>
      </c>
      <c r="E1256" s="5">
        <v>-5.4917069999999999</v>
      </c>
      <c r="F1256" s="5">
        <v>-38.450991000000002</v>
      </c>
      <c r="G1256" s="5">
        <v>2003</v>
      </c>
      <c r="I1256" s="5">
        <v>2003</v>
      </c>
      <c r="M1256" s="5">
        <v>2.2999999999999998</v>
      </c>
      <c r="N1256" s="5" t="s">
        <v>326</v>
      </c>
      <c r="U1256" s="5" t="s">
        <v>132</v>
      </c>
      <c r="V1256" s="5">
        <v>0</v>
      </c>
      <c r="W1256" s="5" t="s">
        <v>44</v>
      </c>
      <c r="Y1256" s="5">
        <v>85</v>
      </c>
      <c r="AC1256" s="5">
        <v>6700000000</v>
      </c>
      <c r="AD1256" s="5" t="s">
        <v>92</v>
      </c>
      <c r="AJ1256" s="5" t="s">
        <v>2208</v>
      </c>
    </row>
    <row r="1257" spans="1:36" x14ac:dyDescent="0.25">
      <c r="A1257" s="5" t="s">
        <v>153</v>
      </c>
      <c r="B1257" s="5" t="s">
        <v>1686</v>
      </c>
      <c r="C1257" s="5" t="s">
        <v>1686</v>
      </c>
      <c r="D1257" s="5" t="s">
        <v>2865</v>
      </c>
      <c r="E1257" s="5">
        <v>25.872807000000002</v>
      </c>
      <c r="F1257" s="5">
        <v>113.309133</v>
      </c>
      <c r="I1257" s="5" t="s">
        <v>2866</v>
      </c>
      <c r="M1257" s="5">
        <v>2.2999999999999998</v>
      </c>
      <c r="N1257" s="5" t="s">
        <v>1691</v>
      </c>
      <c r="P1257" s="7">
        <v>32713</v>
      </c>
      <c r="Q1257" s="5">
        <v>1989</v>
      </c>
      <c r="T1257" s="5" t="s">
        <v>2762</v>
      </c>
      <c r="V1257" s="5">
        <v>0</v>
      </c>
      <c r="W1257" s="5" t="s">
        <v>44</v>
      </c>
      <c r="Y1257" s="5">
        <v>157</v>
      </c>
      <c r="AC1257" s="5">
        <v>8119999999.999999</v>
      </c>
      <c r="AD1257" s="5" t="s">
        <v>92</v>
      </c>
      <c r="AJ1257" s="5" t="s">
        <v>2867</v>
      </c>
    </row>
    <row r="1258" spans="1:36" x14ac:dyDescent="0.25">
      <c r="A1258" s="5" t="s">
        <v>153</v>
      </c>
      <c r="B1258" s="5" t="s">
        <v>1686</v>
      </c>
      <c r="C1258" s="5" t="s">
        <v>1686</v>
      </c>
      <c r="D1258" s="5" t="s">
        <v>2868</v>
      </c>
      <c r="E1258" s="5">
        <v>28.421875</v>
      </c>
      <c r="F1258" s="5">
        <v>99.320650000000001</v>
      </c>
      <c r="M1258" s="5">
        <v>2.2999999999999998</v>
      </c>
      <c r="N1258" s="5" t="s">
        <v>65</v>
      </c>
      <c r="P1258" s="7">
        <v>42860</v>
      </c>
      <c r="Q1258" s="5">
        <v>2017</v>
      </c>
      <c r="T1258" s="5" t="s">
        <v>2803</v>
      </c>
      <c r="V1258" s="5">
        <v>0</v>
      </c>
      <c r="W1258" s="5" t="s">
        <v>44</v>
      </c>
      <c r="Y1258" s="5">
        <v>164.2</v>
      </c>
      <c r="AC1258" s="5">
        <v>132600000</v>
      </c>
      <c r="AD1258" s="5" t="s">
        <v>92</v>
      </c>
      <c r="AJ1258" s="5" t="s">
        <v>2869</v>
      </c>
    </row>
    <row r="1259" spans="1:36" x14ac:dyDescent="0.25">
      <c r="A1259" s="5" t="s">
        <v>784</v>
      </c>
      <c r="B1259" s="5" t="s">
        <v>1686</v>
      </c>
      <c r="C1259" s="5" t="s">
        <v>1686</v>
      </c>
      <c r="D1259" s="5" t="s">
        <v>1921</v>
      </c>
      <c r="E1259" s="5">
        <v>-13.834047</v>
      </c>
      <c r="F1259" s="5">
        <v>-48.304572999999998</v>
      </c>
      <c r="G1259" s="5" t="s">
        <v>1922</v>
      </c>
      <c r="M1259" s="5">
        <v>2.2000000000000002</v>
      </c>
      <c r="N1259" s="5" t="s">
        <v>808</v>
      </c>
      <c r="P1259" s="7">
        <v>36324</v>
      </c>
      <c r="Q1259" s="5">
        <v>1999</v>
      </c>
      <c r="V1259" s="5">
        <v>0</v>
      </c>
      <c r="W1259" s="5" t="s">
        <v>44</v>
      </c>
      <c r="Y1259" s="5">
        <v>150</v>
      </c>
      <c r="AC1259" s="5">
        <v>54400000000</v>
      </c>
      <c r="AD1259" s="5" t="s">
        <v>92</v>
      </c>
      <c r="AJ1259" s="5" t="s">
        <v>2195</v>
      </c>
    </row>
    <row r="1260" spans="1:36" x14ac:dyDescent="0.25">
      <c r="A1260" s="5" t="s">
        <v>123</v>
      </c>
      <c r="B1260" s="5" t="s">
        <v>1686</v>
      </c>
      <c r="C1260" s="5" t="s">
        <v>1686</v>
      </c>
      <c r="D1260" s="5" t="s">
        <v>2074</v>
      </c>
      <c r="E1260" s="5">
        <v>50.790635999999999</v>
      </c>
      <c r="F1260" s="5">
        <v>-66.791279000000003</v>
      </c>
      <c r="G1260" s="5" t="s">
        <v>2075</v>
      </c>
      <c r="H1260" s="5" t="s">
        <v>1942</v>
      </c>
      <c r="I1260" s="5" t="s">
        <v>2076</v>
      </c>
      <c r="M1260" s="5">
        <v>2.2000000000000002</v>
      </c>
      <c r="N1260" s="5" t="s">
        <v>933</v>
      </c>
      <c r="P1260" s="7">
        <v>36677</v>
      </c>
      <c r="Q1260" s="5">
        <v>2000</v>
      </c>
      <c r="V1260" s="5">
        <v>0</v>
      </c>
      <c r="W1260" s="5" t="s">
        <v>44</v>
      </c>
      <c r="Y1260" s="5">
        <v>171</v>
      </c>
      <c r="Z1260" s="5">
        <v>253</v>
      </c>
      <c r="AC1260" s="5">
        <f>12.5*10^9</f>
        <v>12500000000</v>
      </c>
      <c r="AD1260" s="5" t="s">
        <v>92</v>
      </c>
      <c r="AJ1260" s="5" t="s">
        <v>2077</v>
      </c>
    </row>
    <row r="1261" spans="1:36" x14ac:dyDescent="0.25">
      <c r="A1261" s="5" t="s">
        <v>189</v>
      </c>
      <c r="B1261" s="5" t="s">
        <v>1686</v>
      </c>
      <c r="C1261" s="5" t="s">
        <v>1686</v>
      </c>
      <c r="D1261" s="5" t="s">
        <v>1923</v>
      </c>
      <c r="E1261" s="5">
        <v>43.736862000000002</v>
      </c>
      <c r="F1261" s="5">
        <v>6.1342140000000001</v>
      </c>
      <c r="G1261" s="5">
        <v>1975</v>
      </c>
      <c r="M1261" s="5">
        <v>2.2000000000000002</v>
      </c>
      <c r="V1261" s="5">
        <v>0</v>
      </c>
      <c r="W1261" s="5" t="s">
        <v>44</v>
      </c>
      <c r="Z1261" s="14">
        <v>22</v>
      </c>
      <c r="AC1261" s="5">
        <v>767000000</v>
      </c>
      <c r="AD1261" s="5" t="s">
        <v>92</v>
      </c>
      <c r="AJ1261" s="5" t="s">
        <v>2196</v>
      </c>
    </row>
    <row r="1262" spans="1:36" x14ac:dyDescent="0.25">
      <c r="A1262" s="5" t="s">
        <v>153</v>
      </c>
      <c r="B1262" s="5" t="s">
        <v>1686</v>
      </c>
      <c r="C1262" s="5" t="s">
        <v>1686</v>
      </c>
      <c r="D1262" s="5" t="s">
        <v>2870</v>
      </c>
      <c r="I1262" s="5" t="s">
        <v>2871</v>
      </c>
      <c r="M1262" s="5">
        <v>2.2000000000000002</v>
      </c>
      <c r="N1262" s="5" t="s">
        <v>1691</v>
      </c>
      <c r="O1262" s="5">
        <v>3000</v>
      </c>
      <c r="P1262" s="7">
        <v>30592</v>
      </c>
      <c r="Q1262" s="5">
        <v>1983</v>
      </c>
      <c r="T1262" s="5" t="s">
        <v>2796</v>
      </c>
      <c r="V1262" s="5">
        <v>0</v>
      </c>
      <c r="W1262" s="5" t="s">
        <v>44</v>
      </c>
      <c r="Y1262" s="5">
        <v>12.65</v>
      </c>
      <c r="Z1262" s="14"/>
      <c r="AC1262" s="5">
        <v>400000</v>
      </c>
      <c r="AD1262" s="5" t="s">
        <v>92</v>
      </c>
      <c r="AJ1262" s="5" t="s">
        <v>2872</v>
      </c>
    </row>
    <row r="1263" spans="1:36" x14ac:dyDescent="0.25">
      <c r="A1263" s="5" t="s">
        <v>108</v>
      </c>
      <c r="B1263" s="5" t="s">
        <v>1686</v>
      </c>
      <c r="C1263" s="5" t="s">
        <v>1686</v>
      </c>
      <c r="D1263" s="5" t="s">
        <v>1924</v>
      </c>
      <c r="E1263" s="5">
        <v>40.275995000000002</v>
      </c>
      <c r="F1263" s="5">
        <v>16.001131999999998</v>
      </c>
      <c r="G1263" s="5">
        <v>1963</v>
      </c>
      <c r="I1263" s="5" t="s">
        <v>1925</v>
      </c>
      <c r="J1263" s="5" t="s">
        <v>1926</v>
      </c>
      <c r="L1263" s="5" t="s">
        <v>956</v>
      </c>
      <c r="M1263" s="5">
        <v>2.1</v>
      </c>
      <c r="N1263" s="5" t="s">
        <v>65</v>
      </c>
      <c r="U1263" s="5" t="s">
        <v>131</v>
      </c>
      <c r="V1263" s="5">
        <v>0</v>
      </c>
      <c r="W1263" s="5" t="s">
        <v>73</v>
      </c>
      <c r="X1263" s="5" t="s">
        <v>1927</v>
      </c>
      <c r="Y1263" s="5">
        <v>95</v>
      </c>
      <c r="Z1263" s="5">
        <v>75</v>
      </c>
      <c r="AC1263" s="5">
        <v>155000000</v>
      </c>
      <c r="AD1263" s="5" t="s">
        <v>92</v>
      </c>
      <c r="AJ1263" s="5" t="s">
        <v>1928</v>
      </c>
    </row>
    <row r="1264" spans="1:36" x14ac:dyDescent="0.25">
      <c r="A1264" s="5" t="s">
        <v>51</v>
      </c>
      <c r="B1264" s="5" t="s">
        <v>1686</v>
      </c>
      <c r="C1264" s="5" t="s">
        <v>1686</v>
      </c>
      <c r="D1264" s="5" t="s">
        <v>1930</v>
      </c>
      <c r="E1264" s="5">
        <v>39.650740999999996</v>
      </c>
      <c r="F1264" s="5">
        <v>-105.71903399999999</v>
      </c>
      <c r="M1264" s="5">
        <v>2</v>
      </c>
      <c r="P1264" s="5">
        <v>1968</v>
      </c>
      <c r="Q1264" s="5">
        <v>1968</v>
      </c>
      <c r="V1264" s="5">
        <v>0</v>
      </c>
      <c r="W1264" s="5" t="s">
        <v>44</v>
      </c>
      <c r="Z1264" s="14"/>
      <c r="AJ1264" s="5" t="s">
        <v>1804</v>
      </c>
    </row>
    <row r="1265" spans="1:36" x14ac:dyDescent="0.25">
      <c r="A1265" s="5" t="s">
        <v>806</v>
      </c>
      <c r="B1265" s="5" t="s">
        <v>1686</v>
      </c>
      <c r="C1265" s="5" t="s">
        <v>1686</v>
      </c>
      <c r="D1265" s="5" t="s">
        <v>1938</v>
      </c>
      <c r="E1265" s="5">
        <v>-30.623352000000001</v>
      </c>
      <c r="F1265" s="5">
        <v>25.506796000000001</v>
      </c>
      <c r="G1265" s="5">
        <v>1970</v>
      </c>
      <c r="M1265" s="5">
        <v>2</v>
      </c>
      <c r="P1265" s="5">
        <v>1971</v>
      </c>
      <c r="Q1265" s="5">
        <v>1971</v>
      </c>
      <c r="V1265" s="5">
        <v>0</v>
      </c>
      <c r="W1265" s="5" t="s">
        <v>44</v>
      </c>
      <c r="Y1265" s="5">
        <v>66</v>
      </c>
      <c r="Z1265" s="14">
        <v>374</v>
      </c>
      <c r="AC1265" s="5">
        <v>5000000000</v>
      </c>
      <c r="AD1265" s="5" t="s">
        <v>92</v>
      </c>
      <c r="AJ1265" s="5" t="s">
        <v>1714</v>
      </c>
    </row>
    <row r="1266" spans="1:36" x14ac:dyDescent="0.25">
      <c r="A1266" s="5" t="s">
        <v>172</v>
      </c>
      <c r="B1266" s="5" t="s">
        <v>1686</v>
      </c>
      <c r="C1266" s="5" t="s">
        <v>1686</v>
      </c>
      <c r="D1266" s="5" t="s">
        <v>1931</v>
      </c>
      <c r="E1266" s="5">
        <v>41.271276999999998</v>
      </c>
      <c r="F1266" s="5">
        <v>-6.320246</v>
      </c>
      <c r="G1266" s="5">
        <v>1970</v>
      </c>
      <c r="I1266" s="6"/>
      <c r="J1266" s="6"/>
      <c r="M1266" s="5">
        <v>2</v>
      </c>
      <c r="P1266" s="7" t="s">
        <v>1254</v>
      </c>
      <c r="Q1266" s="5">
        <v>1972</v>
      </c>
      <c r="V1266" s="5">
        <v>0</v>
      </c>
      <c r="W1266" s="5" t="s">
        <v>44</v>
      </c>
      <c r="Y1266" s="5">
        <v>202</v>
      </c>
      <c r="AC1266" s="5">
        <v>2500000000</v>
      </c>
      <c r="AD1266" s="5" t="s">
        <v>92</v>
      </c>
      <c r="AJ1266" s="5" t="s">
        <v>1804</v>
      </c>
    </row>
    <row r="1267" spans="1:36" x14ac:dyDescent="0.25">
      <c r="A1267" s="5" t="s">
        <v>1935</v>
      </c>
      <c r="B1267" s="5" t="s">
        <v>1686</v>
      </c>
      <c r="C1267" s="5" t="s">
        <v>1686</v>
      </c>
      <c r="D1267" s="5" t="s">
        <v>1936</v>
      </c>
      <c r="E1267" s="5">
        <v>47.037708000000002</v>
      </c>
      <c r="F1267" s="5">
        <v>11.706262000000001</v>
      </c>
      <c r="G1267" s="5">
        <v>1970</v>
      </c>
      <c r="M1267" s="5">
        <v>2</v>
      </c>
      <c r="P1267" s="7" t="s">
        <v>1937</v>
      </c>
      <c r="Q1267" s="5">
        <v>1973</v>
      </c>
      <c r="V1267" s="5">
        <v>0</v>
      </c>
      <c r="W1267" s="5" t="s">
        <v>44</v>
      </c>
      <c r="Y1267" s="5">
        <v>117</v>
      </c>
      <c r="AC1267" s="5">
        <v>128000000</v>
      </c>
      <c r="AD1267" s="5" t="s">
        <v>92</v>
      </c>
      <c r="AJ1267" s="5" t="s">
        <v>1702</v>
      </c>
    </row>
    <row r="1268" spans="1:36" x14ac:dyDescent="0.25">
      <c r="A1268" s="5" t="s">
        <v>784</v>
      </c>
      <c r="B1268" s="5" t="s">
        <v>1686</v>
      </c>
      <c r="C1268" s="5" t="s">
        <v>1686</v>
      </c>
      <c r="D1268" s="5" t="s">
        <v>1929</v>
      </c>
      <c r="E1268" s="5">
        <v>-20.303773</v>
      </c>
      <c r="F1268" s="5">
        <v>-49.197547</v>
      </c>
      <c r="G1268" s="5">
        <v>1975</v>
      </c>
      <c r="M1268" s="5">
        <v>2</v>
      </c>
      <c r="N1268" s="5" t="s">
        <v>65</v>
      </c>
      <c r="P1268" s="7">
        <v>28696</v>
      </c>
      <c r="Q1268" s="5">
        <v>1978</v>
      </c>
      <c r="V1268" s="5">
        <v>0</v>
      </c>
      <c r="W1268" s="5" t="s">
        <v>44</v>
      </c>
      <c r="Y1268" s="5">
        <v>90</v>
      </c>
      <c r="AC1268" s="5">
        <v>6150000000</v>
      </c>
      <c r="AD1268" s="5" t="s">
        <v>92</v>
      </c>
      <c r="AJ1268" s="5" t="s">
        <v>2195</v>
      </c>
    </row>
    <row r="1269" spans="1:36" x14ac:dyDescent="0.25">
      <c r="A1269" s="5" t="s">
        <v>784</v>
      </c>
      <c r="B1269" s="5" t="s">
        <v>1686</v>
      </c>
      <c r="C1269" s="5" t="s">
        <v>1686</v>
      </c>
      <c r="D1269" s="5" t="s">
        <v>2385</v>
      </c>
      <c r="E1269" s="5">
        <v>-18.445995</v>
      </c>
      <c r="F1269" s="5">
        <v>-47.988318</v>
      </c>
      <c r="G1269" s="5" t="s">
        <v>2209</v>
      </c>
      <c r="M1269" s="5">
        <v>2</v>
      </c>
      <c r="P1269" s="5">
        <v>1984</v>
      </c>
      <c r="Q1269" s="5">
        <v>1984</v>
      </c>
      <c r="V1269" s="5">
        <v>0</v>
      </c>
      <c r="W1269" s="5" t="s">
        <v>44</v>
      </c>
      <c r="Y1269" s="5">
        <v>158</v>
      </c>
      <c r="AC1269" s="5">
        <v>17500000000</v>
      </c>
      <c r="AD1269" s="5" t="s">
        <v>92</v>
      </c>
      <c r="AJ1269" s="5" t="s">
        <v>2194</v>
      </c>
    </row>
    <row r="1270" spans="1:36" x14ac:dyDescent="0.25">
      <c r="A1270" s="5" t="s">
        <v>1082</v>
      </c>
      <c r="B1270" s="5" t="s">
        <v>1686</v>
      </c>
      <c r="C1270" s="5" t="s">
        <v>1686</v>
      </c>
      <c r="D1270" s="5" t="s">
        <v>1932</v>
      </c>
      <c r="E1270" s="5">
        <v>10.321808000000001</v>
      </c>
      <c r="F1270" s="5">
        <v>76.735455000000002</v>
      </c>
      <c r="M1270" s="5">
        <v>2</v>
      </c>
      <c r="V1270" s="5">
        <v>0</v>
      </c>
      <c r="W1270" s="5" t="s">
        <v>73</v>
      </c>
      <c r="AJ1270" s="5" t="s">
        <v>1804</v>
      </c>
    </row>
    <row r="1271" spans="1:36" x14ac:dyDescent="0.25">
      <c r="A1271" s="5" t="s">
        <v>1082</v>
      </c>
      <c r="B1271" s="5" t="s">
        <v>1686</v>
      </c>
      <c r="C1271" s="5" t="s">
        <v>1686</v>
      </c>
      <c r="D1271" s="5" t="s">
        <v>1933</v>
      </c>
      <c r="E1271" s="5">
        <v>14.235761</v>
      </c>
      <c r="F1271" s="5">
        <v>74.767257000000001</v>
      </c>
      <c r="M1271" s="5">
        <v>2</v>
      </c>
      <c r="V1271" s="5">
        <v>0</v>
      </c>
      <c r="W1271" s="5" t="s">
        <v>73</v>
      </c>
      <c r="AJ1271" s="5" t="s">
        <v>1804</v>
      </c>
    </row>
    <row r="1272" spans="1:36" x14ac:dyDescent="0.25">
      <c r="A1272" s="5" t="s">
        <v>377</v>
      </c>
      <c r="B1272" s="5" t="s">
        <v>1686</v>
      </c>
      <c r="C1272" s="5" t="s">
        <v>1686</v>
      </c>
      <c r="D1272" s="5" t="s">
        <v>1934</v>
      </c>
      <c r="E1272" s="5">
        <v>46.938296999999999</v>
      </c>
      <c r="F1272" s="5">
        <v>26.102961000000001</v>
      </c>
      <c r="M1272" s="5">
        <v>2</v>
      </c>
      <c r="V1272" s="5">
        <v>0</v>
      </c>
      <c r="W1272" s="14" t="s">
        <v>44</v>
      </c>
      <c r="Z1272" s="5">
        <v>33</v>
      </c>
      <c r="AJ1272" s="5" t="s">
        <v>1804</v>
      </c>
    </row>
    <row r="1273" spans="1:36" x14ac:dyDescent="0.25">
      <c r="A1273" s="5" t="s">
        <v>784</v>
      </c>
      <c r="B1273" s="5" t="s">
        <v>1686</v>
      </c>
      <c r="C1273" s="5" t="s">
        <v>1686</v>
      </c>
      <c r="D1273" s="5" t="s">
        <v>2873</v>
      </c>
      <c r="E1273" s="5">
        <v>-20.210738137501199</v>
      </c>
      <c r="F1273" s="5">
        <v>-43.460532530320798</v>
      </c>
      <c r="G1273" s="5">
        <v>2008</v>
      </c>
      <c r="M1273" s="5">
        <v>2</v>
      </c>
      <c r="N1273" s="5" t="s">
        <v>40</v>
      </c>
      <c r="O1273" s="5" t="s">
        <v>181</v>
      </c>
      <c r="P1273" s="7">
        <v>42313</v>
      </c>
      <c r="Q1273" s="5">
        <v>2015</v>
      </c>
      <c r="V1273" s="5">
        <v>0</v>
      </c>
      <c r="W1273" s="14" t="s">
        <v>44</v>
      </c>
      <c r="Y1273" s="5">
        <v>90</v>
      </c>
      <c r="AI1273" s="5" t="s">
        <v>2874</v>
      </c>
      <c r="AJ1273" s="5" t="s">
        <v>2875</v>
      </c>
    </row>
    <row r="1274" spans="1:36" x14ac:dyDescent="0.25">
      <c r="A1274" s="5" t="s">
        <v>784</v>
      </c>
      <c r="B1274" s="5" t="s">
        <v>1686</v>
      </c>
      <c r="C1274" s="5" t="s">
        <v>1686</v>
      </c>
      <c r="D1274" s="5" t="s">
        <v>1939</v>
      </c>
      <c r="E1274" s="5">
        <v>-9.4288509999999999</v>
      </c>
      <c r="F1274" s="5">
        <v>-40.825910999999998</v>
      </c>
      <c r="G1274" s="5">
        <v>1977</v>
      </c>
      <c r="M1274" s="5">
        <v>1.9</v>
      </c>
      <c r="N1274" s="5" t="s">
        <v>65</v>
      </c>
      <c r="P1274" s="7">
        <v>29041</v>
      </c>
      <c r="Q1274" s="5">
        <v>1979</v>
      </c>
      <c r="V1274" s="5">
        <v>0</v>
      </c>
      <c r="W1274" s="5" t="s">
        <v>44</v>
      </c>
      <c r="Y1274" s="5">
        <v>43</v>
      </c>
      <c r="AC1274" s="5">
        <v>34100000000</v>
      </c>
      <c r="AD1274" s="5" t="s">
        <v>92</v>
      </c>
      <c r="AJ1274" s="5" t="s">
        <v>2194</v>
      </c>
    </row>
    <row r="1275" spans="1:36" x14ac:dyDescent="0.25">
      <c r="A1275" s="5" t="s">
        <v>784</v>
      </c>
      <c r="B1275" s="5" t="s">
        <v>1686</v>
      </c>
      <c r="C1275" s="5" t="s">
        <v>1686</v>
      </c>
      <c r="D1275" s="5" t="s">
        <v>2210</v>
      </c>
      <c r="E1275" s="5">
        <v>-27.525285</v>
      </c>
      <c r="F1275" s="5">
        <v>-51.785058999999997</v>
      </c>
      <c r="G1275" s="6">
        <v>37131</v>
      </c>
      <c r="M1275" s="5">
        <v>1.8</v>
      </c>
      <c r="N1275" s="5" t="s">
        <v>65</v>
      </c>
      <c r="P1275" s="7">
        <v>37142</v>
      </c>
      <c r="Q1275" s="5">
        <v>2001</v>
      </c>
      <c r="V1275" s="5">
        <v>0</v>
      </c>
      <c r="W1275" s="5" t="s">
        <v>44</v>
      </c>
      <c r="Y1275" s="5">
        <v>130</v>
      </c>
      <c r="AC1275" s="5">
        <v>3300000000</v>
      </c>
      <c r="AD1275" s="5" t="s">
        <v>92</v>
      </c>
      <c r="AJ1275" s="5" t="s">
        <v>2200</v>
      </c>
    </row>
    <row r="1276" spans="1:36" x14ac:dyDescent="0.25">
      <c r="A1276" s="5" t="s">
        <v>784</v>
      </c>
      <c r="B1276" s="5" t="s">
        <v>1686</v>
      </c>
      <c r="C1276" s="5" t="s">
        <v>1686</v>
      </c>
      <c r="D1276" s="5" t="s">
        <v>2211</v>
      </c>
      <c r="E1276" s="5">
        <v>-27.604175999999999</v>
      </c>
      <c r="F1276" s="5">
        <v>-51.326545000000003</v>
      </c>
      <c r="G1276" s="6">
        <v>38635</v>
      </c>
      <c r="M1276" s="5">
        <v>1.8</v>
      </c>
      <c r="N1276" s="5" t="s">
        <v>65</v>
      </c>
      <c r="P1276" s="7">
        <v>38637</v>
      </c>
      <c r="Q1276" s="5">
        <v>2005</v>
      </c>
      <c r="V1276" s="5">
        <v>0</v>
      </c>
      <c r="W1276" s="5" t="s">
        <v>44</v>
      </c>
      <c r="Y1276" s="5">
        <v>166</v>
      </c>
      <c r="AC1276" s="5">
        <v>1500000000</v>
      </c>
      <c r="AD1276" s="5" t="s">
        <v>92</v>
      </c>
      <c r="AJ1276" s="5" t="s">
        <v>2200</v>
      </c>
    </row>
    <row r="1277" spans="1:36" x14ac:dyDescent="0.25">
      <c r="A1277" s="5" t="s">
        <v>784</v>
      </c>
      <c r="B1277" s="5" t="s">
        <v>1686</v>
      </c>
      <c r="C1277" s="5" t="s">
        <v>1686</v>
      </c>
      <c r="D1277" s="5" t="s">
        <v>2386</v>
      </c>
      <c r="E1277" s="5">
        <v>-9.619942</v>
      </c>
      <c r="F1277" s="5">
        <v>-37.793154000000001</v>
      </c>
      <c r="G1277" s="5" t="s">
        <v>1479</v>
      </c>
      <c r="M1277" s="5">
        <v>1.7</v>
      </c>
      <c r="N1277" s="5" t="s">
        <v>808</v>
      </c>
      <c r="P1277" s="7">
        <v>34535</v>
      </c>
      <c r="Q1277" s="5">
        <v>1994</v>
      </c>
      <c r="V1277" s="5">
        <v>0</v>
      </c>
      <c r="W1277" s="5" t="s">
        <v>44</v>
      </c>
      <c r="Y1277" s="5">
        <v>140</v>
      </c>
      <c r="AC1277" s="5">
        <v>3800000000</v>
      </c>
      <c r="AD1277" s="5" t="s">
        <v>92</v>
      </c>
      <c r="AJ1277" s="5" t="s">
        <v>2195</v>
      </c>
    </row>
    <row r="1278" spans="1:36" x14ac:dyDescent="0.25">
      <c r="A1278" s="5" t="s">
        <v>153</v>
      </c>
      <c r="B1278" s="5" t="s">
        <v>1686</v>
      </c>
      <c r="C1278" s="5" t="s">
        <v>1686</v>
      </c>
      <c r="D1278" s="5" t="s">
        <v>2876</v>
      </c>
      <c r="E1278" s="5">
        <v>29.208912999999999</v>
      </c>
      <c r="F1278" s="5">
        <v>102.83820299999999</v>
      </c>
      <c r="M1278" s="5">
        <v>1.7</v>
      </c>
      <c r="N1278" s="5" t="s">
        <v>65</v>
      </c>
      <c r="P1278" s="7">
        <v>40398</v>
      </c>
      <c r="Q1278" s="5">
        <v>2010</v>
      </c>
      <c r="T1278" s="5" t="s">
        <v>2877</v>
      </c>
      <c r="V1278" s="5">
        <v>0</v>
      </c>
      <c r="W1278" s="5" t="s">
        <v>44</v>
      </c>
      <c r="Y1278" s="5">
        <v>186</v>
      </c>
      <c r="AC1278" s="5">
        <v>5397000000</v>
      </c>
      <c r="AD1278" s="5" t="s">
        <v>92</v>
      </c>
      <c r="AJ1278" s="5" t="s">
        <v>2878</v>
      </c>
    </row>
    <row r="1279" spans="1:36" x14ac:dyDescent="0.25">
      <c r="A1279" s="5" t="s">
        <v>123</v>
      </c>
      <c r="B1279" s="5" t="s">
        <v>1686</v>
      </c>
      <c r="C1279" s="5" t="s">
        <v>1686</v>
      </c>
      <c r="D1279" s="5" t="s">
        <v>1943</v>
      </c>
      <c r="E1279" s="5">
        <v>50.014789999999998</v>
      </c>
      <c r="F1279" s="5">
        <v>-68.023217000000002</v>
      </c>
      <c r="G1279" s="6">
        <v>38393</v>
      </c>
      <c r="M1279" s="5">
        <v>1.6</v>
      </c>
      <c r="N1279" s="5" t="s">
        <v>933</v>
      </c>
      <c r="O1279" s="5">
        <v>2700</v>
      </c>
      <c r="P1279" s="7">
        <v>38409</v>
      </c>
      <c r="Q1279" s="5">
        <v>2005</v>
      </c>
      <c r="V1279" s="5">
        <v>0</v>
      </c>
      <c r="W1279" s="5" t="s">
        <v>44</v>
      </c>
      <c r="Y1279" s="5">
        <v>77</v>
      </c>
      <c r="Z1279" s="5">
        <v>235</v>
      </c>
      <c r="AC1279" s="5">
        <f>3.5*10^9</f>
        <v>3500000000</v>
      </c>
      <c r="AD1279" s="5" t="s">
        <v>92</v>
      </c>
      <c r="AJ1279" s="5" t="s">
        <v>2078</v>
      </c>
    </row>
    <row r="1280" spans="1:36" x14ac:dyDescent="0.25">
      <c r="A1280" s="5" t="s">
        <v>123</v>
      </c>
      <c r="B1280" s="5" t="s">
        <v>1686</v>
      </c>
      <c r="C1280" s="5" t="s">
        <v>1686</v>
      </c>
      <c r="D1280" s="5" t="s">
        <v>2079</v>
      </c>
      <c r="E1280" s="5">
        <v>51.130876000000001</v>
      </c>
      <c r="F1280" s="5">
        <v>-63.413713000000001</v>
      </c>
      <c r="G1280" s="5" t="s">
        <v>2080</v>
      </c>
      <c r="H1280" s="5" t="s">
        <v>2081</v>
      </c>
      <c r="M1280" s="5">
        <v>1.6</v>
      </c>
      <c r="N1280" s="5" t="s">
        <v>933</v>
      </c>
      <c r="V1280" s="5">
        <v>0</v>
      </c>
      <c r="W1280" s="5" t="s">
        <v>44</v>
      </c>
      <c r="Y1280" s="5">
        <v>95</v>
      </c>
      <c r="Z1280" s="5">
        <v>38.6</v>
      </c>
      <c r="AC1280" s="5">
        <f>1.878*10^9</f>
        <v>1878000000</v>
      </c>
      <c r="AD1280" s="5" t="s">
        <v>92</v>
      </c>
      <c r="AJ1280" s="5" t="s">
        <v>2073</v>
      </c>
    </row>
    <row r="1281" spans="1:36" x14ac:dyDescent="0.25">
      <c r="A1281" s="5" t="s">
        <v>1082</v>
      </c>
      <c r="B1281" s="5" t="s">
        <v>1686</v>
      </c>
      <c r="C1281" s="5" t="s">
        <v>1686</v>
      </c>
      <c r="D1281" s="5" t="s">
        <v>1940</v>
      </c>
      <c r="E1281" s="5">
        <v>19.341176999999998</v>
      </c>
      <c r="F1281" s="5">
        <v>74.607917999999998</v>
      </c>
      <c r="G1281" s="5">
        <v>1972</v>
      </c>
      <c r="M1281" s="5">
        <v>1.5</v>
      </c>
      <c r="P1281" s="5">
        <v>1972</v>
      </c>
      <c r="Q1281" s="5">
        <v>1972</v>
      </c>
      <c r="V1281" s="5">
        <v>0</v>
      </c>
      <c r="W1281" s="5" t="s">
        <v>73</v>
      </c>
      <c r="Y1281" s="5">
        <v>56</v>
      </c>
      <c r="Z1281" s="14">
        <v>53600</v>
      </c>
      <c r="AC1281" s="5">
        <v>1017000000</v>
      </c>
      <c r="AD1281" s="5" t="s">
        <v>92</v>
      </c>
      <c r="AJ1281" s="5" t="s">
        <v>1702</v>
      </c>
    </row>
    <row r="1282" spans="1:36" x14ac:dyDescent="0.25">
      <c r="A1282" s="5" t="s">
        <v>784</v>
      </c>
      <c r="B1282" s="5" t="s">
        <v>1686</v>
      </c>
      <c r="C1282" s="5" t="s">
        <v>1686</v>
      </c>
      <c r="D1282" s="5" t="s">
        <v>2212</v>
      </c>
      <c r="E1282" s="5">
        <v>-15.968583000000001</v>
      </c>
      <c r="F1282" s="5">
        <v>-39.590946000000002</v>
      </c>
      <c r="G1282" s="5" t="s">
        <v>353</v>
      </c>
      <c r="M1282" s="5">
        <v>1.5</v>
      </c>
      <c r="N1282" s="5" t="s">
        <v>326</v>
      </c>
      <c r="P1282" s="7">
        <v>37836</v>
      </c>
      <c r="Q1282" s="5">
        <v>2003</v>
      </c>
      <c r="V1282" s="5">
        <v>0</v>
      </c>
      <c r="W1282" s="5" t="s">
        <v>44</v>
      </c>
      <c r="Y1282" s="5">
        <v>117</v>
      </c>
      <c r="AC1282" s="5">
        <v>1000000000</v>
      </c>
      <c r="AD1282" s="5" t="s">
        <v>92</v>
      </c>
      <c r="AJ1282" s="5" t="s">
        <v>2200</v>
      </c>
    </row>
    <row r="1283" spans="1:36" x14ac:dyDescent="0.25">
      <c r="A1283" s="5" t="s">
        <v>123</v>
      </c>
      <c r="B1283" s="5" t="s">
        <v>1686</v>
      </c>
      <c r="C1283" s="5" t="s">
        <v>1686</v>
      </c>
      <c r="D1283" s="5" t="s">
        <v>2082</v>
      </c>
      <c r="E1283" s="5">
        <v>53.785837999999998</v>
      </c>
      <c r="F1283" s="5">
        <v>-77.452231999999995</v>
      </c>
      <c r="G1283" s="5" t="s">
        <v>2083</v>
      </c>
      <c r="H1283" s="5" t="s">
        <v>2084</v>
      </c>
      <c r="M1283" s="5">
        <v>0.9</v>
      </c>
      <c r="N1283" s="5" t="s">
        <v>65</v>
      </c>
      <c r="P1283" s="7">
        <v>28891</v>
      </c>
      <c r="Q1283" s="5">
        <v>1979</v>
      </c>
      <c r="V1283" s="5">
        <v>0</v>
      </c>
      <c r="W1283" s="5" t="s">
        <v>44</v>
      </c>
      <c r="Y1283" s="5">
        <v>145</v>
      </c>
      <c r="Z1283" s="5">
        <v>2905</v>
      </c>
      <c r="AC1283" s="5">
        <f>61.7*10^9</f>
        <v>61700000000</v>
      </c>
      <c r="AD1283" s="5" t="s">
        <v>92</v>
      </c>
      <c r="AJ1283" s="5" t="s">
        <v>2085</v>
      </c>
    </row>
    <row r="1284" spans="1:36" x14ac:dyDescent="0.25">
      <c r="A1284" s="5" t="s">
        <v>123</v>
      </c>
      <c r="B1284" s="5" t="s">
        <v>1686</v>
      </c>
      <c r="C1284" s="5" t="s">
        <v>1945</v>
      </c>
      <c r="D1284" s="5" t="s">
        <v>1943</v>
      </c>
      <c r="E1284" s="5">
        <v>49.970443000000003</v>
      </c>
      <c r="F1284" s="5">
        <v>-68.159325999999993</v>
      </c>
      <c r="G1284" s="5" t="s">
        <v>787</v>
      </c>
      <c r="M1284" s="5">
        <v>0.8</v>
      </c>
      <c r="N1284" s="5" t="s">
        <v>1138</v>
      </c>
      <c r="O1284" s="5">
        <v>1400</v>
      </c>
      <c r="P1284" s="7">
        <v>38451</v>
      </c>
      <c r="Q1284" s="5">
        <v>2005</v>
      </c>
      <c r="V1284" s="5">
        <v>0</v>
      </c>
      <c r="W1284" s="5" t="s">
        <v>44</v>
      </c>
      <c r="AJ1284" s="5" t="s">
        <v>1944</v>
      </c>
    </row>
    <row r="1285" spans="1:36" x14ac:dyDescent="0.25">
      <c r="A1285" s="5" t="s">
        <v>189</v>
      </c>
      <c r="B1285" s="5" t="s">
        <v>1686</v>
      </c>
      <c r="C1285" s="5" t="s">
        <v>1686</v>
      </c>
      <c r="D1285" s="5" t="s">
        <v>1946</v>
      </c>
      <c r="E1285" s="5">
        <v>44.922303999999997</v>
      </c>
      <c r="F1285" s="5">
        <v>3.0746159999999998</v>
      </c>
      <c r="G1285" s="5">
        <v>1959</v>
      </c>
      <c r="P1285" s="7">
        <v>23228</v>
      </c>
      <c r="Q1285" s="5">
        <v>1963</v>
      </c>
      <c r="V1285" s="5">
        <v>0</v>
      </c>
      <c r="W1285" s="5" t="s">
        <v>44</v>
      </c>
      <c r="Z1285" s="14">
        <v>11</v>
      </c>
      <c r="AC1285" s="5">
        <v>271000000</v>
      </c>
      <c r="AD1285" s="5" t="s">
        <v>92</v>
      </c>
      <c r="AJ1285" s="5" t="s">
        <v>2213</v>
      </c>
    </row>
    <row r="1286" spans="1:36" x14ac:dyDescent="0.25">
      <c r="A1286" s="5" t="s">
        <v>784</v>
      </c>
      <c r="B1286" s="5" t="s">
        <v>1686</v>
      </c>
      <c r="C1286" s="5" t="s">
        <v>1686</v>
      </c>
      <c r="D1286" s="5" t="s">
        <v>2214</v>
      </c>
      <c r="E1286" s="5">
        <v>-20.668028</v>
      </c>
      <c r="F1286" s="5">
        <v>-46.314494000000003</v>
      </c>
      <c r="G1286" s="5">
        <v>1963</v>
      </c>
      <c r="P1286" s="7">
        <v>24426</v>
      </c>
      <c r="Q1286" s="5">
        <v>1966</v>
      </c>
      <c r="V1286" s="5">
        <v>0</v>
      </c>
      <c r="W1286" s="5" t="s">
        <v>44</v>
      </c>
      <c r="Y1286" s="5">
        <v>127</v>
      </c>
      <c r="AC1286" s="5">
        <v>23000000000</v>
      </c>
      <c r="AD1286" s="5" t="s">
        <v>92</v>
      </c>
      <c r="AJ1286" s="5" t="s">
        <v>2200</v>
      </c>
    </row>
    <row r="1287" spans="1:36" x14ac:dyDescent="0.25">
      <c r="A1287" s="5" t="s">
        <v>172</v>
      </c>
      <c r="B1287" s="5" t="s">
        <v>1686</v>
      </c>
      <c r="C1287" s="5" t="s">
        <v>1686</v>
      </c>
      <c r="D1287" s="5" t="s">
        <v>1947</v>
      </c>
      <c r="E1287" s="5">
        <v>38.391404000000001</v>
      </c>
      <c r="F1287" s="5">
        <v>-2.2077909999999998</v>
      </c>
      <c r="I1287" s="6"/>
      <c r="J1287" s="6"/>
      <c r="P1287" s="5">
        <v>1973</v>
      </c>
      <c r="Q1287" s="5">
        <v>1973</v>
      </c>
      <c r="V1287" s="5">
        <v>0</v>
      </c>
      <c r="W1287" s="5" t="s">
        <v>1806</v>
      </c>
      <c r="AJ1287" s="5" t="s">
        <v>1804</v>
      </c>
    </row>
    <row r="1288" spans="1:36" x14ac:dyDescent="0.25">
      <c r="A1288" s="5" t="s">
        <v>550</v>
      </c>
      <c r="B1288" s="5" t="s">
        <v>1686</v>
      </c>
      <c r="C1288" s="5" t="s">
        <v>1686</v>
      </c>
      <c r="D1288" s="5" t="s">
        <v>1948</v>
      </c>
      <c r="E1288" s="5">
        <v>-42.730196999999997</v>
      </c>
      <c r="F1288" s="5">
        <v>145.97654700000001</v>
      </c>
      <c r="G1288" s="5">
        <v>1978</v>
      </c>
      <c r="V1288" s="5">
        <v>0</v>
      </c>
      <c r="W1288" s="5" t="s">
        <v>44</v>
      </c>
      <c r="Y1288" s="5">
        <v>140</v>
      </c>
      <c r="AC1288" s="5">
        <v>12400000000</v>
      </c>
      <c r="AD1288" s="5" t="s">
        <v>92</v>
      </c>
      <c r="AJ1288" s="5" t="s">
        <v>1804</v>
      </c>
    </row>
    <row r="1289" spans="1:36" x14ac:dyDescent="0.25">
      <c r="A1289" s="5" t="s">
        <v>172</v>
      </c>
      <c r="B1289" s="5" t="s">
        <v>1686</v>
      </c>
      <c r="C1289" s="5" t="s">
        <v>1686</v>
      </c>
      <c r="D1289" s="5" t="s">
        <v>1949</v>
      </c>
      <c r="E1289" s="5">
        <v>42.313490999999999</v>
      </c>
      <c r="F1289" s="5">
        <v>0.21072099999999999</v>
      </c>
      <c r="I1289" s="6"/>
      <c r="J1289" s="6"/>
      <c r="V1289" s="5">
        <v>0</v>
      </c>
      <c r="W1289" s="5" t="s">
        <v>44</v>
      </c>
      <c r="AJ1289" s="5" t="s">
        <v>1804</v>
      </c>
    </row>
    <row r="1290" spans="1:36" x14ac:dyDescent="0.25">
      <c r="A1290" s="5" t="s">
        <v>172</v>
      </c>
      <c r="B1290" s="5" t="s">
        <v>1686</v>
      </c>
      <c r="C1290" s="5" t="s">
        <v>1686</v>
      </c>
      <c r="D1290" s="5" t="s">
        <v>1950</v>
      </c>
      <c r="E1290" s="5">
        <v>43.132584000000001</v>
      </c>
      <c r="F1290" s="5">
        <v>-4.3888059999999998</v>
      </c>
      <c r="I1290" s="6"/>
      <c r="J1290" s="6"/>
      <c r="P1290" s="5">
        <v>1975</v>
      </c>
      <c r="V1290" s="5">
        <v>0</v>
      </c>
      <c r="W1290" s="5" t="s">
        <v>44</v>
      </c>
      <c r="AJ1290" s="5" t="s">
        <v>1804</v>
      </c>
    </row>
    <row r="1291" spans="1:36" x14ac:dyDescent="0.25">
      <c r="A1291" s="5" t="s">
        <v>51</v>
      </c>
      <c r="B1291" s="5" t="s">
        <v>1686</v>
      </c>
      <c r="C1291" s="5" t="s">
        <v>1686</v>
      </c>
      <c r="D1291" s="5" t="s">
        <v>1951</v>
      </c>
      <c r="E1291" s="5">
        <v>47.533009999999997</v>
      </c>
      <c r="F1291" s="5">
        <v>-120.29398999999999</v>
      </c>
      <c r="V1291" s="5">
        <v>0</v>
      </c>
      <c r="W1291" s="5" t="s">
        <v>73</v>
      </c>
      <c r="Z1291" s="14"/>
      <c r="AC1291" s="5">
        <v>471000000</v>
      </c>
      <c r="AD1291" s="5" t="s">
        <v>92</v>
      </c>
      <c r="AJ1291" s="5" t="s">
        <v>1804</v>
      </c>
    </row>
    <row r="1292" spans="1:36" x14ac:dyDescent="0.25">
      <c r="A1292" s="5" t="s">
        <v>51</v>
      </c>
      <c r="B1292" s="5" t="s">
        <v>1686</v>
      </c>
      <c r="C1292" s="5" t="s">
        <v>1686</v>
      </c>
      <c r="D1292" s="5" t="s">
        <v>1952</v>
      </c>
      <c r="E1292" s="5">
        <v>37.060518999999999</v>
      </c>
      <c r="F1292" s="5">
        <v>-121.076053</v>
      </c>
      <c r="V1292" s="5">
        <v>0</v>
      </c>
      <c r="W1292" s="5" t="s">
        <v>90</v>
      </c>
      <c r="Y1292" s="5">
        <v>93</v>
      </c>
      <c r="Z1292" s="14"/>
      <c r="AJ1292" s="5" t="s">
        <v>1804</v>
      </c>
    </row>
    <row r="1293" spans="1:36" x14ac:dyDescent="0.25">
      <c r="A1293" s="5" t="s">
        <v>51</v>
      </c>
      <c r="B1293" s="5" t="s">
        <v>1686</v>
      </c>
      <c r="C1293" s="5" t="s">
        <v>1686</v>
      </c>
      <c r="D1293" s="5" t="s">
        <v>1953</v>
      </c>
      <c r="E1293" s="5">
        <v>43.677076999999997</v>
      </c>
      <c r="F1293" s="5">
        <v>-84.380190999999996</v>
      </c>
      <c r="G1293" s="5">
        <v>1925</v>
      </c>
      <c r="V1293" s="5">
        <v>0</v>
      </c>
      <c r="W1293" s="5" t="s">
        <v>44</v>
      </c>
      <c r="Z1293" s="14"/>
      <c r="AC1293" s="5">
        <v>17144000</v>
      </c>
      <c r="AD1293" s="5" t="s">
        <v>92</v>
      </c>
      <c r="AJ1293" s="5" t="s">
        <v>1804</v>
      </c>
    </row>
    <row r="1294" spans="1:36" x14ac:dyDescent="0.25">
      <c r="A1294" s="5" t="s">
        <v>1082</v>
      </c>
      <c r="B1294" s="5" t="s">
        <v>1686</v>
      </c>
      <c r="C1294" s="5" t="s">
        <v>1686</v>
      </c>
      <c r="D1294" s="5" t="s">
        <v>2215</v>
      </c>
      <c r="E1294" s="5">
        <v>30.378046999999999</v>
      </c>
      <c r="F1294" s="5">
        <v>78.480930999999998</v>
      </c>
      <c r="G1294" s="5" t="s">
        <v>1158</v>
      </c>
      <c r="I1294" s="5" t="s">
        <v>2216</v>
      </c>
      <c r="K1294" s="5" t="s">
        <v>2217</v>
      </c>
      <c r="V1294" s="5">
        <v>0</v>
      </c>
      <c r="W1294" s="5" t="s">
        <v>73</v>
      </c>
      <c r="Y1294" s="5">
        <v>260.5</v>
      </c>
      <c r="Z1294" s="5">
        <v>52</v>
      </c>
      <c r="AC1294" s="5">
        <v>4000000000</v>
      </c>
      <c r="AD1294" s="5" t="s">
        <v>92</v>
      </c>
      <c r="AJ1294" s="5" t="s">
        <v>2218</v>
      </c>
    </row>
    <row r="1295" spans="1:36" x14ac:dyDescent="0.25">
      <c r="A1295" s="5" t="s">
        <v>153</v>
      </c>
      <c r="B1295" s="5" t="s">
        <v>1686</v>
      </c>
      <c r="C1295" s="5" t="s">
        <v>1686</v>
      </c>
      <c r="D1295" s="5" t="s">
        <v>2879</v>
      </c>
      <c r="E1295" s="5">
        <v>30.437280999999999</v>
      </c>
      <c r="F1295" s="5">
        <v>110.337872</v>
      </c>
      <c r="T1295" s="5" t="s">
        <v>2803</v>
      </c>
      <c r="V1295" s="5">
        <v>0</v>
      </c>
      <c r="W1295" s="5" t="s">
        <v>44</v>
      </c>
      <c r="Y1295" s="5">
        <v>233</v>
      </c>
      <c r="AC1295" s="5">
        <v>4312000000</v>
      </c>
      <c r="AD1295" s="5" t="s">
        <v>92</v>
      </c>
      <c r="AJ1295" s="5" t="s">
        <v>2880</v>
      </c>
    </row>
  </sheetData>
  <hyperlinks>
    <hyperlink ref="AJ618" r:id="rId1" xr:uid="{92B1E0D2-7D79-475A-95C4-55B00406D31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HiQuake</vt:lpstr>
    </vt:vector>
  </TitlesOfParts>
  <Company>Durham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Miles Wilson</dc:creator>
  <cp:lastModifiedBy>Miles Wilson</cp:lastModifiedBy>
  <dcterms:created xsi:type="dcterms:W3CDTF">2017-10-31T16:19:12Z</dcterms:created>
  <dcterms:modified xsi:type="dcterms:W3CDTF">2023-03-27T11:02:26Z</dcterms:modified>
</cp:coreProperties>
</file>