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21798559d53d1b0/Documents/"/>
    </mc:Choice>
  </mc:AlternateContent>
  <xr:revisionPtr revIDLastSave="783" documentId="8_{6DFBC057-C09A-4F23-805A-844154A6B789}" xr6:coauthVersionLast="47" xr6:coauthVersionMax="47" xr10:uidLastSave="{97D9EC67-43B1-4730-9D9E-DE91CDCC283D}"/>
  <bookViews>
    <workbookView minimized="1" xWindow="5790" yWindow="3645" windowWidth="16395" windowHeight="11835" xr2:uid="{0CC5ECC2-C724-49EA-96A9-FF3D47458D97}"/>
  </bookViews>
  <sheets>
    <sheet name="Sheet1" sheetId="1" r:id="rId1"/>
    <sheet name="F-Test" sheetId="3" r:id="rId2"/>
    <sheet name="P Plots" sheetId="4" r:id="rId3"/>
  </sheets>
  <definedNames>
    <definedName name="_xlchart.v1.0" hidden="1">'P Plots'!$A$47:$A$66</definedName>
    <definedName name="ExternalData_2" localSheetId="0" hidden="1">Sheet1!$I$45:$K$55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4" l="1" a="1"/>
  <c r="F95" i="4"/>
  <c r="E95" i="4" a="1"/>
  <c r="E95" i="4"/>
  <c r="D95" i="4" a="1"/>
  <c r="D95" i="4"/>
  <c r="C95" i="4" a="1"/>
  <c r="C95" i="4"/>
  <c r="B95" i="4" a="1"/>
  <c r="B95" i="4"/>
  <c r="F47" i="4" a="1"/>
  <c r="F47" i="4"/>
  <c r="E47" i="4" a="1"/>
  <c r="E47" i="4"/>
  <c r="D47" i="4" a="1"/>
  <c r="D47" i="4"/>
  <c r="C47" i="4" a="1"/>
  <c r="C47" i="4"/>
  <c r="B47" i="4" a="1"/>
  <c r="B47" i="4"/>
  <c r="Y3" i="4" a="1"/>
  <c r="Y3" i="4"/>
  <c r="Z3" i="4" a="1"/>
  <c r="Z3" i="4"/>
  <c r="AA3" i="4" a="1"/>
  <c r="AA3" i="4"/>
  <c r="R3" i="4" a="1"/>
  <c r="R3" i="4"/>
  <c r="P3" i="4" a="1"/>
  <c r="P3" i="4"/>
  <c r="Q3" i="4" a="1"/>
  <c r="Q3" i="4"/>
  <c r="S3" i="4" a="1"/>
  <c r="S3" i="4"/>
  <c r="B2" i="4" a="1"/>
  <c r="B2" i="4"/>
  <c r="C2" i="4" a="1"/>
  <c r="C2" i="4"/>
  <c r="D2" i="4" a="1"/>
  <c r="D2" i="4"/>
  <c r="I8" i="3"/>
  <c r="I11" i="3"/>
  <c r="H14" i="3"/>
  <c r="I9" i="3"/>
  <c r="I12" i="3"/>
  <c r="J14" i="3"/>
  <c r="I6" i="3"/>
  <c r="I5" i="3"/>
  <c r="I4" i="3"/>
  <c r="I3" i="3"/>
  <c r="N13" i="1"/>
  <c r="L14" i="1"/>
  <c r="L13" i="1"/>
  <c r="L11" i="1"/>
  <c r="L9" i="1"/>
  <c r="L8" i="1"/>
  <c r="L6" i="1"/>
  <c r="H2" i="1"/>
  <c r="C41" i="1"/>
  <c r="C57" i="1"/>
  <c r="D30" i="1"/>
  <c r="D35" i="1"/>
  <c r="D17" i="1"/>
  <c r="D6" i="1"/>
  <c r="D7" i="1"/>
  <c r="D8" i="1"/>
  <c r="D39" i="1"/>
  <c r="E41" i="1"/>
  <c r="D53" i="1"/>
  <c r="D52" i="1"/>
  <c r="D55" i="1"/>
  <c r="E57" i="1"/>
  <c r="D38" i="1"/>
  <c r="D41" i="1"/>
  <c r="D24" i="1"/>
  <c r="D25" i="1"/>
  <c r="D10" i="1"/>
  <c r="D9" i="1"/>
  <c r="D54" i="1"/>
  <c r="D57" i="1"/>
  <c r="D13" i="1"/>
  <c r="D12" i="1"/>
  <c r="J12" i="3"/>
  <c r="J9" i="3"/>
  <c r="E30" i="1"/>
  <c r="E12" i="1"/>
  <c r="J5" i="3"/>
  <c r="J11" i="3"/>
  <c r="E7" i="1"/>
  <c r="J6" i="3"/>
  <c r="E10" i="1"/>
  <c r="E39" i="1"/>
  <c r="E25" i="1"/>
  <c r="E52" i="1"/>
  <c r="E38" i="1"/>
  <c r="E24" i="1"/>
  <c r="E54" i="1"/>
  <c r="E6" i="1"/>
  <c r="J3" i="3"/>
  <c r="J4" i="3"/>
  <c r="E9" i="1"/>
  <c r="E8" i="1"/>
  <c r="E35" i="1"/>
  <c r="J8" i="3"/>
  <c r="E13" i="1"/>
  <c r="E53" i="1"/>
  <c r="E5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tc={DDFCBDE7-EE70-449A-AD24-690AEBAF7D18}</author>
  </authors>
  <commentList>
    <comment ref="O1" authorId="0" shapeId="0" xr:uid="{DDFCBDE7-EE70-449A-AD24-690AEBAF7D18}">
      <text>
        <t>[Threaded comment]
Your version of Excel allows you to read this threaded comment; however, any edits to it will get removed if the file is opened in a newer version of Excel. Learn more: https://go.microsoft.com/fwlink/?linkid=870924
Comment:
    Weibull distribution is to model lifetime and strength of material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2" xr16:uid="{00000000-0015-0000-FFFF-FFFF01000000}" keepAlive="1" name="Query - Table2 (2)" description="Connection to the 'Table2 (2)' query in the workbook." type="5" refreshedVersion="8" background="1" saveData="1">
    <dbPr connection="Provider=Microsoft.Mashup.OleDb.1;Data Source=$Workbook$;Location=&quot;Table2 (2)&quot;;Extended Properties=&quot;&quot;" command="SELECT * FROM [Table2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<sst xmlns="http://schemas.openxmlformats.org/spreadsheetml/2006/main" count="111" uniqueCount="85">
  <si>
    <t>Confidence Level</t>
  </si>
  <si>
    <t>Proportion of Population in Interval</t>
  </si>
  <si>
    <t>Sample Size</t>
  </si>
  <si>
    <t>Sample Mean</t>
  </si>
  <si>
    <t>Sample Standard Deviation</t>
  </si>
  <si>
    <t>Z-Critical Value</t>
  </si>
  <si>
    <t>Chi Square Critical Value</t>
  </si>
  <si>
    <t>Lower Tolerance Interval Limit</t>
  </si>
  <si>
    <t>Upper Tolerance Interval Limit</t>
  </si>
  <si>
    <t>Sample</t>
  </si>
  <si>
    <r>
      <t xml:space="preserve">Z Critical Value </t>
    </r>
    <r>
      <rPr>
        <sz val="12"/>
        <color theme="1"/>
        <rFont val="Times New Roman"/>
        <family val="1"/>
      </rPr>
      <t>α</t>
    </r>
    <r>
      <rPr>
        <sz val="15.6"/>
        <color theme="1"/>
        <rFont val="Microsoft Yi Baiti"/>
        <family val="2"/>
      </rPr>
      <t>/2</t>
    </r>
  </si>
  <si>
    <t>Lower Limit</t>
  </si>
  <si>
    <t>Upper Limit</t>
  </si>
  <si>
    <r>
      <t>σ</t>
    </r>
    <r>
      <rPr>
        <vertAlign val="subscript"/>
        <sz val="12"/>
        <color theme="1"/>
        <rFont val="Microsoft Yi Baiti"/>
        <family val="4"/>
      </rPr>
      <t>1</t>
    </r>
  </si>
  <si>
    <r>
      <t>σ</t>
    </r>
    <r>
      <rPr>
        <vertAlign val="subscript"/>
        <sz val="12"/>
        <color theme="1"/>
        <rFont val="Microsoft Yi Baiti"/>
        <family val="4"/>
      </rPr>
      <t>2</t>
    </r>
  </si>
  <si>
    <r>
      <t>n</t>
    </r>
    <r>
      <rPr>
        <vertAlign val="subscript"/>
        <sz val="12"/>
        <color theme="1"/>
        <rFont val="Microsoft Yi Baiti"/>
        <family val="4"/>
      </rPr>
      <t>1</t>
    </r>
  </si>
  <si>
    <r>
      <t>n</t>
    </r>
    <r>
      <rPr>
        <vertAlign val="subscript"/>
        <sz val="12"/>
        <color theme="1"/>
        <rFont val="Microsoft Yi Baiti"/>
        <family val="4"/>
      </rPr>
      <t>2</t>
    </r>
  </si>
  <si>
    <r>
      <t>x̄</t>
    </r>
    <r>
      <rPr>
        <vertAlign val="subscript"/>
        <sz val="12"/>
        <color theme="1"/>
        <rFont val="Microsoft Yi Baiti"/>
        <family val="4"/>
      </rPr>
      <t>1</t>
    </r>
  </si>
  <si>
    <r>
      <t>x̄</t>
    </r>
    <r>
      <rPr>
        <vertAlign val="subscript"/>
        <sz val="12"/>
        <color theme="1"/>
        <rFont val="Microsoft Yi Baiti"/>
        <family val="4"/>
      </rPr>
      <t>2</t>
    </r>
  </si>
  <si>
    <r>
      <t>S</t>
    </r>
    <r>
      <rPr>
        <vertAlign val="subscript"/>
        <sz val="12"/>
        <color theme="1"/>
        <rFont val="Microsoft Yi Baiti"/>
        <family val="4"/>
      </rPr>
      <t>1</t>
    </r>
  </si>
  <si>
    <r>
      <t>S</t>
    </r>
    <r>
      <rPr>
        <vertAlign val="subscript"/>
        <sz val="12"/>
        <color theme="1"/>
        <rFont val="Microsoft Yi Baiti"/>
        <family val="4"/>
      </rPr>
      <t>2</t>
    </r>
  </si>
  <si>
    <r>
      <t>Pooled Variance S</t>
    </r>
    <r>
      <rPr>
        <vertAlign val="superscript"/>
        <sz val="12"/>
        <color theme="1"/>
        <rFont val="Microsoft Yi Baiti"/>
        <family val="4"/>
      </rPr>
      <t>2</t>
    </r>
    <r>
      <rPr>
        <vertAlign val="subscript"/>
        <sz val="12"/>
        <color theme="1"/>
        <rFont val="Microsoft Yi Baiti"/>
        <family val="4"/>
      </rPr>
      <t>p</t>
    </r>
  </si>
  <si>
    <r>
      <t>µ</t>
    </r>
    <r>
      <rPr>
        <vertAlign val="subscript"/>
        <sz val="12"/>
        <color theme="1"/>
        <rFont val="Microsoft Yi Baiti"/>
        <family val="4"/>
      </rPr>
      <t>1</t>
    </r>
    <r>
      <rPr>
        <sz val="12"/>
        <color theme="1"/>
        <rFont val="Microsoft Yi Baiti"/>
        <family val="2"/>
      </rPr>
      <t>-µ</t>
    </r>
    <r>
      <rPr>
        <vertAlign val="subscript"/>
        <sz val="12"/>
        <color theme="1"/>
        <rFont val="Microsoft Yi Baiti"/>
        <family val="4"/>
      </rPr>
      <t>2</t>
    </r>
  </si>
  <si>
    <r>
      <t xml:space="preserve">t-Critical Value </t>
    </r>
    <r>
      <rPr>
        <vertAlign val="subscript"/>
        <sz val="12"/>
        <color theme="1"/>
        <rFont val="Calibri Light"/>
        <family val="2"/>
      </rPr>
      <t>α</t>
    </r>
    <r>
      <rPr>
        <vertAlign val="subscript"/>
        <sz val="15.6"/>
        <color theme="1"/>
        <rFont val="Calibri Light"/>
        <family val="2"/>
      </rPr>
      <t>/2</t>
    </r>
  </si>
  <si>
    <t>Satterwaite dof Approximation (v)</t>
  </si>
  <si>
    <t>TOLERANCE LIMITS CALCULATION</t>
  </si>
  <si>
    <r>
      <t>µ</t>
    </r>
    <r>
      <rPr>
        <b/>
        <vertAlign val="subscript"/>
        <sz val="14"/>
        <color theme="1"/>
        <rFont val="Century Gothic"/>
        <family val="2"/>
        <scheme val="minor"/>
      </rPr>
      <t>1</t>
    </r>
    <r>
      <rPr>
        <b/>
        <sz val="14"/>
        <color theme="1"/>
        <rFont val="Century Gothic"/>
        <family val="2"/>
        <scheme val="minor"/>
      </rPr>
      <t>-µ</t>
    </r>
    <r>
      <rPr>
        <b/>
        <vertAlign val="subscript"/>
        <sz val="14"/>
        <color theme="1"/>
        <rFont val="Century Gothic"/>
        <family val="2"/>
        <scheme val="minor"/>
      </rPr>
      <t>2</t>
    </r>
    <r>
      <rPr>
        <b/>
        <sz val="14"/>
        <color theme="1"/>
        <rFont val="Century Gothic"/>
        <family val="2"/>
        <scheme val="minor"/>
      </rPr>
      <t xml:space="preserve"> Confidence Interval Variance (σ) Known</t>
    </r>
  </si>
  <si>
    <r>
      <t>µ</t>
    </r>
    <r>
      <rPr>
        <b/>
        <vertAlign val="subscript"/>
        <sz val="14"/>
        <color theme="1"/>
        <rFont val="Century Gothic"/>
        <family val="2"/>
        <scheme val="minor"/>
      </rPr>
      <t>1</t>
    </r>
    <r>
      <rPr>
        <b/>
        <sz val="14"/>
        <color theme="1"/>
        <rFont val="Century Gothic"/>
        <family val="2"/>
        <scheme val="minor"/>
      </rPr>
      <t>-µ</t>
    </r>
    <r>
      <rPr>
        <b/>
        <vertAlign val="subscript"/>
        <sz val="14"/>
        <color theme="1"/>
        <rFont val="Century Gothic"/>
        <family val="2"/>
        <scheme val="minor"/>
      </rPr>
      <t>2</t>
    </r>
    <r>
      <rPr>
        <b/>
        <sz val="14"/>
        <color theme="1"/>
        <rFont val="Century Gothic"/>
        <family val="2"/>
        <scheme val="minor"/>
      </rPr>
      <t xml:space="preserve"> Confidence Interval Variance (σ) Unknown but equal</t>
    </r>
  </si>
  <si>
    <r>
      <t>µ</t>
    </r>
    <r>
      <rPr>
        <b/>
        <vertAlign val="subscript"/>
        <sz val="14"/>
        <color theme="1"/>
        <rFont val="Century Gothic"/>
        <family val="2"/>
        <scheme val="minor"/>
      </rPr>
      <t>1</t>
    </r>
    <r>
      <rPr>
        <b/>
        <sz val="14"/>
        <color theme="1"/>
        <rFont val="Century Gothic"/>
        <family val="2"/>
        <scheme val="minor"/>
      </rPr>
      <t>-µ</t>
    </r>
    <r>
      <rPr>
        <b/>
        <vertAlign val="subscript"/>
        <sz val="14"/>
        <color theme="1"/>
        <rFont val="Century Gothic"/>
        <family val="2"/>
        <scheme val="minor"/>
      </rPr>
      <t>2</t>
    </r>
    <r>
      <rPr>
        <b/>
        <sz val="14"/>
        <color theme="1"/>
        <rFont val="Century Gothic"/>
        <family val="2"/>
        <scheme val="minor"/>
      </rPr>
      <t xml:space="preserve"> Confidence Interval Variance (σ) Unknown &amp; unequal</t>
    </r>
  </si>
  <si>
    <t>Coca-Cola 29.8% 43.3%</t>
  </si>
  <si>
    <t>Mirage Resorts 27.9% 25.4%</t>
  </si>
  <si>
    <t>Merck 22.1% 24.0%</t>
  </si>
  <si>
    <t>Microsoft 44.5% 88.3%</t>
  </si>
  <si>
    <t>Johnson &amp; Johnson 22.2% 18.1%</t>
  </si>
  <si>
    <t>Intel 43.8% 131.2%</t>
  </si>
  <si>
    <t>Pfizer 21.7% 34.0%</t>
  </si>
  <si>
    <t>Procter &amp; Gamble 21.9% 32.1%</t>
  </si>
  <si>
    <t>Berkshire Hathaway 28.3% 6.2%</t>
  </si>
  <si>
    <t>S&amp;P 500 11.8% 20.3%</t>
  </si>
  <si>
    <t>Column1</t>
  </si>
  <si>
    <t>Company</t>
  </si>
  <si>
    <t>&lt;=1996</t>
  </si>
  <si>
    <t>1996</t>
  </si>
  <si>
    <t>Coca-Cola</t>
  </si>
  <si>
    <t>Mirage Resorts</t>
  </si>
  <si>
    <t>Merck</t>
  </si>
  <si>
    <t>Microsoft</t>
  </si>
  <si>
    <t>Johnson &amp; Johnson</t>
  </si>
  <si>
    <t>Intel</t>
  </si>
  <si>
    <t>Pfizer</t>
  </si>
  <si>
    <t>Procter &amp; Gamble</t>
  </si>
  <si>
    <t>Berkshire Hathaway</t>
  </si>
  <si>
    <t>S&amp;P 500</t>
  </si>
  <si>
    <t>New Supplier</t>
  </si>
  <si>
    <t>Old Supplier</t>
  </si>
  <si>
    <r>
      <t xml:space="preserve">f </t>
    </r>
    <r>
      <rPr>
        <vertAlign val="subscript"/>
        <sz val="12"/>
        <color theme="1"/>
        <rFont val="Microsoft Yi Baiti"/>
        <family val="4"/>
      </rPr>
      <t>α/2</t>
    </r>
  </si>
  <si>
    <r>
      <t xml:space="preserve">f </t>
    </r>
    <r>
      <rPr>
        <vertAlign val="subscript"/>
        <sz val="12"/>
        <color theme="1"/>
        <rFont val="Microsoft Yi Baiti"/>
        <family val="4"/>
      </rPr>
      <t>1-α/2</t>
    </r>
  </si>
  <si>
    <t>Confidence interval (1-α)</t>
  </si>
  <si>
    <r>
      <t>Sample 1 (n</t>
    </r>
    <r>
      <rPr>
        <vertAlign val="subscript"/>
        <sz val="12"/>
        <color theme="1"/>
        <rFont val="Microsoft Yi Baiti"/>
        <family val="4"/>
      </rPr>
      <t>1</t>
    </r>
    <r>
      <rPr>
        <sz val="12"/>
        <color theme="1"/>
        <rFont val="Microsoft Yi Baiti"/>
        <family val="2"/>
      </rPr>
      <t>)</t>
    </r>
  </si>
  <si>
    <r>
      <t>Sample 2 (n</t>
    </r>
    <r>
      <rPr>
        <vertAlign val="subscript"/>
        <sz val="12"/>
        <color theme="1"/>
        <rFont val="Microsoft Yi Baiti"/>
        <family val="4"/>
      </rPr>
      <t>2</t>
    </r>
    <r>
      <rPr>
        <sz val="12"/>
        <color theme="1"/>
        <rFont val="Microsoft Yi Baiti"/>
        <family val="2"/>
      </rPr>
      <t>)</t>
    </r>
  </si>
  <si>
    <r>
      <t>σ</t>
    </r>
    <r>
      <rPr>
        <vertAlign val="subscript"/>
        <sz val="12"/>
        <color theme="1"/>
        <rFont val="Microsoft Yi Baiti"/>
        <family val="4"/>
      </rPr>
      <t>1</t>
    </r>
    <r>
      <rPr>
        <sz val="12"/>
        <color theme="1"/>
        <rFont val="Microsoft Yi Baiti"/>
        <family val="2"/>
      </rPr>
      <t>/σ</t>
    </r>
    <r>
      <rPr>
        <vertAlign val="subscript"/>
        <sz val="12"/>
        <color theme="1"/>
        <rFont val="Microsoft Yi Baiti"/>
        <family val="4"/>
      </rPr>
      <t>2</t>
    </r>
  </si>
  <si>
    <r>
      <t>Confidence Interval on the Ratio Btwn 2 Variances σ</t>
    </r>
    <r>
      <rPr>
        <b/>
        <vertAlign val="superscript"/>
        <sz val="12"/>
        <color theme="1"/>
        <rFont val="Century Gothic"/>
        <family val="2"/>
      </rPr>
      <t>2</t>
    </r>
    <r>
      <rPr>
        <b/>
        <vertAlign val="subscript"/>
        <sz val="12"/>
        <color theme="1"/>
        <rFont val="Century Gothic"/>
        <family val="2"/>
      </rPr>
      <t>1</t>
    </r>
    <r>
      <rPr>
        <b/>
        <sz val="12"/>
        <color theme="1"/>
        <rFont val="Century Gothic"/>
        <family val="2"/>
      </rPr>
      <t>/σ</t>
    </r>
    <r>
      <rPr>
        <b/>
        <vertAlign val="superscript"/>
        <sz val="12"/>
        <color theme="1"/>
        <rFont val="Century Gothic"/>
        <family val="2"/>
      </rPr>
      <t>2</t>
    </r>
    <r>
      <rPr>
        <b/>
        <vertAlign val="subscript"/>
        <sz val="12"/>
        <color theme="1"/>
        <rFont val="Century Gothic"/>
        <family val="2"/>
      </rPr>
      <t>2</t>
    </r>
  </si>
  <si>
    <t>Lower Limit (σ1)</t>
  </si>
  <si>
    <t>Upper Limit (σ2)</t>
  </si>
  <si>
    <r>
      <t>Sample 1 Variance (S</t>
    </r>
    <r>
      <rPr>
        <vertAlign val="superscript"/>
        <sz val="12"/>
        <color theme="1"/>
        <rFont val="Microsoft Yi Baiti"/>
        <family val="4"/>
      </rPr>
      <t>2</t>
    </r>
    <r>
      <rPr>
        <vertAlign val="subscript"/>
        <sz val="12"/>
        <color theme="1"/>
        <rFont val="Microsoft Yi Baiti"/>
        <family val="4"/>
      </rPr>
      <t>1</t>
    </r>
    <r>
      <rPr>
        <sz val="12"/>
        <color theme="1"/>
        <rFont val="Microsoft Yi Baiti"/>
        <family val="2"/>
      </rPr>
      <t>)</t>
    </r>
  </si>
  <si>
    <r>
      <t>Sampke 2 Variance (S</t>
    </r>
    <r>
      <rPr>
        <vertAlign val="superscript"/>
        <sz val="12"/>
        <color theme="1"/>
        <rFont val="Microsoft Yi Baiti"/>
        <family val="4"/>
      </rPr>
      <t>2</t>
    </r>
    <r>
      <rPr>
        <vertAlign val="subscript"/>
        <sz val="12"/>
        <color theme="1"/>
        <rFont val="Microsoft Yi Baiti"/>
        <family val="4"/>
      </rPr>
      <t>2</t>
    </r>
    <r>
      <rPr>
        <sz val="12"/>
        <color theme="1"/>
        <rFont val="Microsoft Yi Baiti"/>
        <family val="2"/>
      </rPr>
      <t>)</t>
    </r>
  </si>
  <si>
    <t>Z-Percentile</t>
  </si>
  <si>
    <r>
      <t>Percentile
{100(</t>
    </r>
    <r>
      <rPr>
        <i/>
        <sz val="12"/>
        <color theme="1"/>
        <rFont val="Microsoft Yi Baiti"/>
        <family val="4"/>
      </rPr>
      <t>i</t>
    </r>
    <r>
      <rPr>
        <sz val="12"/>
        <color theme="1"/>
        <rFont val="Microsoft Yi Baiti"/>
        <family val="2"/>
      </rPr>
      <t>-.5)/n}</t>
    </r>
  </si>
  <si>
    <r>
      <t>Rank (</t>
    </r>
    <r>
      <rPr>
        <i/>
        <sz val="12"/>
        <color theme="1"/>
        <rFont val="Microsoft Yi Baiti"/>
        <family val="4"/>
      </rPr>
      <t>i</t>
    </r>
    <r>
      <rPr>
        <sz val="12"/>
        <color theme="1"/>
        <rFont val="Microsoft Yi Baiti"/>
        <family val="2"/>
      </rPr>
      <t>)</t>
    </r>
  </si>
  <si>
    <r>
      <t>(</t>
    </r>
    <r>
      <rPr>
        <i/>
        <sz val="12"/>
        <color theme="1"/>
        <rFont val="Microsoft Yi Baiti"/>
        <family val="4"/>
      </rPr>
      <t>x</t>
    </r>
    <r>
      <rPr>
        <sz val="12"/>
        <color theme="1"/>
        <rFont val="Microsoft Yi Baiti"/>
        <family val="2"/>
      </rPr>
      <t>)</t>
    </r>
  </si>
  <si>
    <t>Rank</t>
  </si>
  <si>
    <r>
      <t>Percentile (</t>
    </r>
    <r>
      <rPr>
        <i/>
        <sz val="12"/>
        <color theme="1"/>
        <rFont val="Microsoft Yi Baiti"/>
        <family val="4"/>
      </rPr>
      <t>p</t>
    </r>
    <r>
      <rPr>
        <sz val="12"/>
        <color theme="1"/>
        <rFont val="Microsoft Yi Baiti"/>
        <family val="2"/>
      </rPr>
      <t>)</t>
    </r>
  </si>
  <si>
    <t>Probability Plot for Weibul Distribution</t>
  </si>
  <si>
    <r>
      <t>ln(</t>
    </r>
    <r>
      <rPr>
        <i/>
        <sz val="12"/>
        <color theme="1"/>
        <rFont val="Microsoft Yi Baiti"/>
        <family val="4"/>
      </rPr>
      <t>x</t>
    </r>
    <r>
      <rPr>
        <sz val="12"/>
        <color theme="1"/>
        <rFont val="Microsoft Yi Baiti"/>
        <family val="2"/>
      </rPr>
      <t>)</t>
    </r>
  </si>
  <si>
    <r>
      <t>ln(-ln(1-</t>
    </r>
    <r>
      <rPr>
        <i/>
        <sz val="12"/>
        <color theme="1"/>
        <rFont val="Microsoft Yi Baiti"/>
        <family val="4"/>
      </rPr>
      <t>p</t>
    </r>
    <r>
      <rPr>
        <sz val="12"/>
        <color theme="1"/>
        <rFont val="Microsoft Yi Baiti"/>
        <family val="2"/>
      </rPr>
      <t>))</t>
    </r>
  </si>
  <si>
    <r>
      <t>Rank (</t>
    </r>
    <r>
      <rPr>
        <i/>
        <sz val="12"/>
        <color theme="1"/>
        <rFont val="Microsoft Yi Baiti"/>
        <family val="4"/>
      </rPr>
      <t>I</t>
    </r>
    <r>
      <rPr>
        <sz val="12"/>
        <color theme="1"/>
        <rFont val="Microsoft Yi Baiti"/>
        <family val="2"/>
      </rPr>
      <t>)</t>
    </r>
  </si>
  <si>
    <r>
      <rPr>
        <i/>
        <sz val="12"/>
        <color theme="1"/>
        <rFont val="Microsoft Yi Baiti"/>
        <family val="4"/>
      </rPr>
      <t>z</t>
    </r>
    <r>
      <rPr>
        <sz val="12"/>
        <color theme="1"/>
        <rFont val="Microsoft Yi Baiti"/>
        <family val="2"/>
      </rPr>
      <t>-Percentile</t>
    </r>
  </si>
  <si>
    <r>
      <t>Sample (</t>
    </r>
    <r>
      <rPr>
        <i/>
        <sz val="12"/>
        <color theme="1"/>
        <rFont val="Microsoft Yi Baiti"/>
        <family val="4"/>
      </rPr>
      <t>x</t>
    </r>
    <r>
      <rPr>
        <sz val="12"/>
        <color theme="1"/>
        <rFont val="Microsoft Yi Baiti"/>
        <family val="2"/>
      </rPr>
      <t>)</t>
    </r>
  </si>
  <si>
    <r>
      <t>obs (</t>
    </r>
    <r>
      <rPr>
        <i/>
        <sz val="12"/>
        <color theme="1"/>
        <rFont val="Microsoft Yi Baiti"/>
        <family val="4"/>
      </rPr>
      <t>x</t>
    </r>
    <r>
      <rPr>
        <sz val="12"/>
        <color theme="1"/>
        <rFont val="Microsoft Yi Baiti"/>
        <family val="2"/>
      </rPr>
      <t>)</t>
    </r>
  </si>
  <si>
    <r>
      <t>ln (</t>
    </r>
    <r>
      <rPr>
        <i/>
        <sz val="12"/>
        <color theme="1"/>
        <rFont val="Microsoft Yi Baiti"/>
        <family val="4"/>
      </rPr>
      <t>x</t>
    </r>
    <r>
      <rPr>
        <sz val="12"/>
        <color theme="1"/>
        <rFont val="Microsoft Yi Baiti"/>
        <family val="2"/>
      </rPr>
      <t>)</t>
    </r>
  </si>
  <si>
    <r>
      <rPr>
        <i/>
        <sz val="12"/>
        <color theme="1"/>
        <rFont val="Microsoft Yi Baiti"/>
        <family val="4"/>
      </rPr>
      <t>z</t>
    </r>
    <r>
      <rPr>
        <sz val="12"/>
        <color theme="1"/>
        <rFont val="Microsoft Yi Baiti"/>
        <family val="2"/>
      </rPr>
      <t>- Percentile</t>
    </r>
  </si>
  <si>
    <t>Obs (x)</t>
  </si>
  <si>
    <t>Z- Percentile</t>
  </si>
  <si>
    <r>
      <t>Sqrt (</t>
    </r>
    <r>
      <rPr>
        <i/>
        <sz val="12"/>
        <color theme="1"/>
        <rFont val="Microsoft Yi Baiti"/>
        <family val="4"/>
      </rPr>
      <t>x</t>
    </r>
    <r>
      <rPr>
        <sz val="12"/>
        <color theme="1"/>
        <rFont val="Microsoft Yi Baiti"/>
        <family val="2"/>
      </rPr>
      <t>)</t>
    </r>
  </si>
  <si>
    <t>Cube-root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</si>
</sst>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7" x14ac:knownFonts="1">
    <font>
      <sz val="12"/>
      <color theme="1"/>
      <name val="Microsoft Yi Baiti"/>
      <family val="2"/>
    </font>
    <font>
      <sz val="12"/>
      <color theme="1"/>
      <name val="Times New Roman"/>
      <family val="1"/>
    </font>
    <font>
      <sz val="15.6"/>
      <color theme="1"/>
      <name val="Microsoft Yi Baiti"/>
      <family val="2"/>
    </font>
    <font>
      <vertAlign val="subscript"/>
      <sz val="12"/>
      <color theme="1"/>
      <name val="Microsoft Yi Baiti"/>
      <family val="4"/>
    </font>
    <font>
      <vertAlign val="superscript"/>
      <sz val="12"/>
      <color theme="1"/>
      <name val="Microsoft Yi Baiti"/>
      <family val="4"/>
    </font>
    <font>
      <vertAlign val="subscript"/>
      <sz val="12"/>
      <color theme="1"/>
      <name val="Calibri Light"/>
      <family val="2"/>
    </font>
    <font>
      <vertAlign val="subscript"/>
      <sz val="15.6"/>
      <color theme="1"/>
      <name val="Calibri Light"/>
      <family val="2"/>
    </font>
    <font>
      <b/>
      <sz val="14"/>
      <color theme="1"/>
      <name val="Calibri"/>
      <family val="2"/>
    </font>
    <font>
      <b/>
      <sz val="14"/>
      <color theme="1"/>
      <name val="Century Gothic"/>
      <family val="2"/>
      <scheme val="minor"/>
    </font>
    <font>
      <b/>
      <vertAlign val="subscript"/>
      <sz val="14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8"/>
      <name val="Microsoft Yi Baiti"/>
      <family val="2"/>
    </font>
    <font>
      <sz val="12"/>
      <color theme="1"/>
      <name val="Microsoft Yi Baiti"/>
      <family val="4"/>
    </font>
    <font>
      <b/>
      <sz val="12"/>
      <color theme="1"/>
      <name val="Century Gothic"/>
      <family val="2"/>
    </font>
    <font>
      <b/>
      <vertAlign val="subscript"/>
      <sz val="12"/>
      <color theme="1"/>
      <name val="Century Gothic"/>
      <family val="2"/>
    </font>
    <font>
      <b/>
      <vertAlign val="superscript"/>
      <sz val="12"/>
      <color theme="1"/>
      <name val="Century Gothic"/>
      <family val="2"/>
    </font>
    <font>
      <i/>
      <sz val="12"/>
      <color theme="1"/>
      <name val="Microsoft Yi Baiti"/>
      <family val="4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3" borderId="2" xfId="0" applyFill="1" applyBorder="1"/>
    <xf numFmtId="0" fontId="0" fillId="5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5" borderId="8" xfId="0" applyFill="1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0" xfId="0" applyFill="1"/>
    <xf numFmtId="0" fontId="0" fillId="3" borderId="13" xfId="0" applyFill="1" applyBorder="1"/>
    <xf numFmtId="0" fontId="0" fillId="5" borderId="13" xfId="0" applyFill="1" applyBorder="1"/>
    <xf numFmtId="0" fontId="0" fillId="2" borderId="13" xfId="0" applyFill="1" applyBorder="1"/>
    <xf numFmtId="0" fontId="0" fillId="3" borderId="14" xfId="0" applyFill="1" applyBorder="1"/>
    <xf numFmtId="0" fontId="0" fillId="5" borderId="14" xfId="0" applyFill="1" applyBorder="1"/>
    <xf numFmtId="0" fontId="0" fillId="2" borderId="14" xfId="0" applyFill="1" applyBorder="1"/>
    <xf numFmtId="0" fontId="0" fillId="6" borderId="0" xfId="0" applyFill="1"/>
    <xf numFmtId="0" fontId="10" fillId="7" borderId="0" xfId="0" applyFont="1" applyFill="1"/>
    <xf numFmtId="0" fontId="12" fillId="0" borderId="0" xfId="0" applyFont="1"/>
    <xf numFmtId="0" fontId="0" fillId="8" borderId="0" xfId="0" applyFill="1"/>
    <xf numFmtId="0" fontId="0" fillId="9" borderId="0" xfId="0" applyFill="1"/>
    <xf numFmtId="0" fontId="0" fillId="8" borderId="15" xfId="0" applyFill="1" applyBorder="1"/>
    <xf numFmtId="0" fontId="0" fillId="3" borderId="15" xfId="0" applyFill="1" applyBorder="1"/>
    <xf numFmtId="0" fontId="0" fillId="9" borderId="15" xfId="0" applyFill="1" applyBorder="1"/>
    <xf numFmtId="0" fontId="0" fillId="10" borderId="16" xfId="0" applyFill="1" applyBorder="1" applyAlignment="1">
      <alignment horizontal="right"/>
    </xf>
    <xf numFmtId="0" fontId="0" fillId="10" borderId="17" xfId="0" applyFill="1" applyBorder="1" applyAlignment="1">
      <alignment horizontal="center"/>
    </xf>
    <xf numFmtId="0" fontId="0" fillId="10" borderId="18" xfId="0" applyFill="1" applyBorder="1"/>
    <xf numFmtId="0" fontId="0" fillId="10" borderId="14" xfId="0" applyFill="1" applyBorder="1"/>
    <xf numFmtId="0" fontId="0" fillId="10" borderId="14" xfId="0" applyFill="1" applyBorder="1" applyAlignment="1">
      <alignment wrapText="1"/>
    </xf>
    <xf numFmtId="164" fontId="0" fillId="0" borderId="0" xfId="0" applyNumberFormat="1"/>
    <xf numFmtId="2" fontId="0" fillId="0" borderId="0" xfId="0" applyNumberFormat="1"/>
    <xf numFmtId="0" fontId="0" fillId="9" borderId="14" xfId="0" applyFill="1" applyBorder="1"/>
    <xf numFmtId="0" fontId="12" fillId="9" borderId="14" xfId="0" applyFont="1" applyFill="1" applyBorder="1"/>
    <xf numFmtId="0" fontId="0" fillId="11" borderId="0" xfId="0" applyFill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3" fillId="6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Probabilty Plot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</c:trendlineLbl>
          </c:trendline>
          <c:xVal>
            <c:numRef>
              <c:f>'P Plots'!$D$2:$D$18</c:f>
              <c:numCache>
                <c:formatCode>General</c:formatCode>
                <c:ptCount val="17"/>
                <c:pt idx="0">
                  <c:v>-1.8896999999999999</c:v>
                </c:pt>
                <c:pt idx="1">
                  <c:v>-1.3519000000000001</c:v>
                </c:pt>
                <c:pt idx="2">
                  <c:v>-1.0489999999999999</c:v>
                </c:pt>
                <c:pt idx="3">
                  <c:v>-0.82069999999999999</c:v>
                </c:pt>
                <c:pt idx="4">
                  <c:v>-0.54139999999999999</c:v>
                </c:pt>
                <c:pt idx="5">
                  <c:v>-0.54139999999999999</c:v>
                </c:pt>
                <c:pt idx="6">
                  <c:v>-0.29920000000000002</c:v>
                </c:pt>
                <c:pt idx="7">
                  <c:v>-7.3800000000000004E-2</c:v>
                </c:pt>
                <c:pt idx="8">
                  <c:v>-7.3800000000000004E-2</c:v>
                </c:pt>
                <c:pt idx="9">
                  <c:v>0.22289999999999999</c:v>
                </c:pt>
                <c:pt idx="10">
                  <c:v>0.22289999999999999</c:v>
                </c:pt>
                <c:pt idx="11">
                  <c:v>0.54139999999999999</c:v>
                </c:pt>
                <c:pt idx="12">
                  <c:v>0.54139999999999999</c:v>
                </c:pt>
                <c:pt idx="13">
                  <c:v>0.82069999999999999</c:v>
                </c:pt>
                <c:pt idx="14">
                  <c:v>1.0489999999999999</c:v>
                </c:pt>
                <c:pt idx="15">
                  <c:v>1.3519000000000001</c:v>
                </c:pt>
                <c:pt idx="16">
                  <c:v>1.8896999999999999</c:v>
                </c:pt>
              </c:numCache>
            </c:numRef>
          </c:xVal>
          <c:yVal>
            <c:numRef>
              <c:f>'P Plots'!$C$2:$C$18</c:f>
              <c:numCache>
                <c:formatCode>General</c:formatCode>
                <c:ptCount val="17"/>
                <c:pt idx="0">
                  <c:v>2.9399999999999999E-2</c:v>
                </c:pt>
                <c:pt idx="1">
                  <c:v>8.8200000000000001E-2</c:v>
                </c:pt>
                <c:pt idx="2">
                  <c:v>0.14710000000000001</c:v>
                </c:pt>
                <c:pt idx="3">
                  <c:v>0.2059</c:v>
                </c:pt>
                <c:pt idx="4">
                  <c:v>0.29409999999999997</c:v>
                </c:pt>
                <c:pt idx="5">
                  <c:v>0.29409999999999997</c:v>
                </c:pt>
                <c:pt idx="6">
                  <c:v>0.38240000000000002</c:v>
                </c:pt>
                <c:pt idx="7">
                  <c:v>0.47060000000000002</c:v>
                </c:pt>
                <c:pt idx="8">
                  <c:v>0.47060000000000002</c:v>
                </c:pt>
                <c:pt idx="9">
                  <c:v>0.58819999999999995</c:v>
                </c:pt>
                <c:pt idx="10">
                  <c:v>0.58819999999999995</c:v>
                </c:pt>
                <c:pt idx="11">
                  <c:v>0.70589999999999997</c:v>
                </c:pt>
                <c:pt idx="12">
                  <c:v>0.70589999999999997</c:v>
                </c:pt>
                <c:pt idx="13">
                  <c:v>0.79410000000000003</c:v>
                </c:pt>
                <c:pt idx="14">
                  <c:v>0.85289999999999999</c:v>
                </c:pt>
                <c:pt idx="15">
                  <c:v>0.91180000000000005</c:v>
                </c:pt>
                <c:pt idx="16">
                  <c:v>0.97060000000000002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876-489B-B8A1-3517C230C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484559"/>
        <c:axId val="1686676431"/>
      </c:scatterChart>
      <c:valAx>
        <c:axId val="171148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 Plots'!$D$1</c:f>
              <c:strCache>
                <c:ptCount val="1"/>
                <c:pt idx="0">
                  <c:v>Z-Percentile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686676431"/>
        <c:crossesAt val="-0.2"/>
        <c:crossBetween val="midCat"/>
      </c:valAx>
      <c:valAx>
        <c:axId val="168667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 Plots'!$C$1</c:f>
              <c:strCache>
                <c:ptCount val="1"/>
                <c:pt idx="0">
                  <c:v>Percentile
{100(i-.5)/n}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711484559"/>
        <c:crossesAt val="-2.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Probabilty Plot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</c:trendlineLbl>
          </c:trendline>
          <c:xVal>
            <c:numRef>
              <c:f>'P Plots'!$D$2:$D$18</c:f>
              <c:numCache>
                <c:formatCode>General</c:formatCode>
                <c:ptCount val="17"/>
                <c:pt idx="0">
                  <c:v>-1.8896999999999999</c:v>
                </c:pt>
                <c:pt idx="1">
                  <c:v>-1.3519000000000001</c:v>
                </c:pt>
                <c:pt idx="2">
                  <c:v>-1.0489999999999999</c:v>
                </c:pt>
                <c:pt idx="3">
                  <c:v>-0.82069999999999999</c:v>
                </c:pt>
                <c:pt idx="4">
                  <c:v>-0.54139999999999999</c:v>
                </c:pt>
                <c:pt idx="5">
                  <c:v>-0.54139999999999999</c:v>
                </c:pt>
                <c:pt idx="6">
                  <c:v>-0.29920000000000002</c:v>
                </c:pt>
                <c:pt idx="7">
                  <c:v>-7.3800000000000004E-2</c:v>
                </c:pt>
                <c:pt idx="8">
                  <c:v>-7.3800000000000004E-2</c:v>
                </c:pt>
                <c:pt idx="9">
                  <c:v>0.22289999999999999</c:v>
                </c:pt>
                <c:pt idx="10">
                  <c:v>0.22289999999999999</c:v>
                </c:pt>
                <c:pt idx="11">
                  <c:v>0.54139999999999999</c:v>
                </c:pt>
                <c:pt idx="12">
                  <c:v>0.54139999999999999</c:v>
                </c:pt>
                <c:pt idx="13">
                  <c:v>0.82069999999999999</c:v>
                </c:pt>
                <c:pt idx="14">
                  <c:v>1.0489999999999999</c:v>
                </c:pt>
                <c:pt idx="15">
                  <c:v>1.3519000000000001</c:v>
                </c:pt>
                <c:pt idx="16">
                  <c:v>1.8896999999999999</c:v>
                </c:pt>
              </c:numCache>
            </c:numRef>
          </c:xVal>
          <c:yVal>
            <c:numRef>
              <c:f>'P Plots'!$A$2:$A$18</c:f>
              <c:numCache>
                <c:formatCode>General</c:formatCode>
                <c:ptCount val="17"/>
                <c:pt idx="0">
                  <c:v>30.86</c:v>
                </c:pt>
                <c:pt idx="1">
                  <c:v>37.68</c:v>
                </c:pt>
                <c:pt idx="2">
                  <c:v>39.04</c:v>
                </c:pt>
                <c:pt idx="3">
                  <c:v>42.78</c:v>
                </c:pt>
                <c:pt idx="4">
                  <c:v>42.89</c:v>
                </c:pt>
                <c:pt idx="5">
                  <c:v>42.89</c:v>
                </c:pt>
                <c:pt idx="6">
                  <c:v>45.05</c:v>
                </c:pt>
                <c:pt idx="7">
                  <c:v>47.08</c:v>
                </c:pt>
                <c:pt idx="8">
                  <c:v>47.08</c:v>
                </c:pt>
                <c:pt idx="9">
                  <c:v>48.79</c:v>
                </c:pt>
                <c:pt idx="10">
                  <c:v>48.79</c:v>
                </c:pt>
                <c:pt idx="11">
                  <c:v>52.56</c:v>
                </c:pt>
                <c:pt idx="12">
                  <c:v>52.56</c:v>
                </c:pt>
                <c:pt idx="13">
                  <c:v>54.8</c:v>
                </c:pt>
                <c:pt idx="14">
                  <c:v>55.17</c:v>
                </c:pt>
                <c:pt idx="15">
                  <c:v>56.31</c:v>
                </c:pt>
                <c:pt idx="16">
                  <c:v>59.94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71-4BD8-8895-9E9849C03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674047"/>
        <c:axId val="443391328"/>
      </c:scatterChart>
      <c:valAx>
        <c:axId val="1633674047"/>
        <c:scaling>
          <c:orientation val="minMax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 Plots'!$D$1</c:f>
              <c:strCache>
                <c:ptCount val="1"/>
                <c:pt idx="0">
                  <c:v>Z-Percentile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443391328"/>
        <c:crossesAt val="30"/>
        <c:crossBetween val="midCat"/>
      </c:valAx>
      <c:valAx>
        <c:axId val="443391328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 Plots'!$A$1</c:f>
              <c:strCache>
                <c:ptCount val="1"/>
                <c:pt idx="0">
                  <c:v>Sample (x)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633674047"/>
        <c:crossesAt val="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Weibull Probability plot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</c:trendlineLbl>
          </c:trendline>
          <c:xVal>
            <c:numRef>
              <c:f>'P Plots'!$S$3:$S$12</c:f>
              <c:numCache>
                <c:formatCode>General</c:formatCode>
                <c:ptCount val="10"/>
                <c:pt idx="0">
                  <c:v>-2.9702000000000002</c:v>
                </c:pt>
                <c:pt idx="1">
                  <c:v>-1.8169999999999999</c:v>
                </c:pt>
                <c:pt idx="2">
                  <c:v>-1.2459</c:v>
                </c:pt>
                <c:pt idx="3">
                  <c:v>-0.84219999999999995</c:v>
                </c:pt>
                <c:pt idx="4">
                  <c:v>-0.51439999999999997</c:v>
                </c:pt>
                <c:pt idx="5">
                  <c:v>-0.22500000000000001</c:v>
                </c:pt>
                <c:pt idx="6">
                  <c:v>4.8599999999999997E-2</c:v>
                </c:pt>
                <c:pt idx="7">
                  <c:v>0.3266</c:v>
                </c:pt>
                <c:pt idx="8">
                  <c:v>0.64029999999999998</c:v>
                </c:pt>
                <c:pt idx="9">
                  <c:v>1.0972</c:v>
                </c:pt>
              </c:numCache>
            </c:numRef>
          </c:xVal>
          <c:yVal>
            <c:numRef>
              <c:f>'P Plots'!$R$3:$R$12</c:f>
              <c:numCache>
                <c:formatCode>General</c:formatCode>
                <c:ptCount val="10"/>
                <c:pt idx="0">
                  <c:v>5.6418999999999997</c:v>
                </c:pt>
                <c:pt idx="1">
                  <c:v>6.2165999999999997</c:v>
                </c:pt>
                <c:pt idx="2">
                  <c:v>6.6079999999999997</c:v>
                </c:pt>
                <c:pt idx="3">
                  <c:v>6.7464000000000004</c:v>
                </c:pt>
                <c:pt idx="4">
                  <c:v>6.9772999999999996</c:v>
                </c:pt>
                <c:pt idx="5">
                  <c:v>7.0228999999999999</c:v>
                </c:pt>
                <c:pt idx="6">
                  <c:v>7.0917000000000003</c:v>
                </c:pt>
                <c:pt idx="7">
                  <c:v>7.3682999999999996</c:v>
                </c:pt>
                <c:pt idx="8">
                  <c:v>7.5522</c:v>
                </c:pt>
                <c:pt idx="9">
                  <c:v>7.6676000000000002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75-406B-9BC7-2D591C498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114544"/>
        <c:axId val="1713145999"/>
      </c:scatterChart>
      <c:valAx>
        <c:axId val="444114544"/>
        <c:scaling>
          <c:orientation val="minMax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 Plots'!$S$2</c:f>
              <c:strCache>
                <c:ptCount val="1"/>
                <c:pt idx="0">
                  <c:v>ln(-ln(1-p))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713145999"/>
        <c:crosses val="autoZero"/>
        <c:crossBetween val="midCat"/>
      </c:valAx>
      <c:valAx>
        <c:axId val="1713145999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 Plots'!$R$2</c:f>
              <c:strCache>
                <c:ptCount val="1"/>
                <c:pt idx="0">
                  <c:v>ln(x)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444114544"/>
        <c:crossesAt val="-3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Normal Probability Plot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</c:trendlineLbl>
          </c:trendline>
          <c:xVal>
            <c:numRef>
              <c:f>'P Plots'!$AA$3:$AA$22</c:f>
              <c:numCache>
                <c:formatCode>0.0000</c:formatCode>
                <c:ptCount val="20"/>
                <c:pt idx="0">
                  <c:v>-1.96</c:v>
                </c:pt>
                <c:pt idx="1">
                  <c:v>-1.4395</c:v>
                </c:pt>
                <c:pt idx="2">
                  <c:v>-1.1503000000000001</c:v>
                </c:pt>
                <c:pt idx="3">
                  <c:v>-0.93459999999999999</c:v>
                </c:pt>
                <c:pt idx="4">
                  <c:v>-0.75539999999999996</c:v>
                </c:pt>
                <c:pt idx="5">
                  <c:v>-0.5978</c:v>
                </c:pt>
                <c:pt idx="6">
                  <c:v>-0.45379999999999998</c:v>
                </c:pt>
                <c:pt idx="7">
                  <c:v>-0.31859999999999999</c:v>
                </c:pt>
                <c:pt idx="8">
                  <c:v>-0.18909999999999999</c:v>
                </c:pt>
                <c:pt idx="9">
                  <c:v>-6.2700000000000006E-2</c:v>
                </c:pt>
                <c:pt idx="10">
                  <c:v>6.2700000000000006E-2</c:v>
                </c:pt>
                <c:pt idx="11">
                  <c:v>0.18909999999999999</c:v>
                </c:pt>
                <c:pt idx="12">
                  <c:v>0.31859999999999999</c:v>
                </c:pt>
                <c:pt idx="13">
                  <c:v>0.45379999999999998</c:v>
                </c:pt>
                <c:pt idx="14">
                  <c:v>0.5978</c:v>
                </c:pt>
                <c:pt idx="15">
                  <c:v>0.75539999999999996</c:v>
                </c:pt>
                <c:pt idx="16">
                  <c:v>0.93459999999999999</c:v>
                </c:pt>
                <c:pt idx="17">
                  <c:v>1.1503000000000001</c:v>
                </c:pt>
                <c:pt idx="18">
                  <c:v>1.4395</c:v>
                </c:pt>
                <c:pt idx="19">
                  <c:v>1.96</c:v>
                </c:pt>
              </c:numCache>
            </c:numRef>
          </c:xVal>
          <c:yVal>
            <c:numRef>
              <c:f>'P Plots'!$Z$3:$Z$22</c:f>
              <c:numCache>
                <c:formatCode>General</c:formatCode>
                <c:ptCount val="20"/>
                <c:pt idx="0">
                  <c:v>2.5000000000000001E-2</c:v>
                </c:pt>
                <c:pt idx="1">
                  <c:v>7.4999999999999997E-2</c:v>
                </c:pt>
                <c:pt idx="2">
                  <c:v>0.125</c:v>
                </c:pt>
                <c:pt idx="3">
                  <c:v>0.17499999999999999</c:v>
                </c:pt>
                <c:pt idx="4">
                  <c:v>0.22500000000000001</c:v>
                </c:pt>
                <c:pt idx="5">
                  <c:v>0.27500000000000002</c:v>
                </c:pt>
                <c:pt idx="6">
                  <c:v>0.32500000000000001</c:v>
                </c:pt>
                <c:pt idx="7">
                  <c:v>0.375</c:v>
                </c:pt>
                <c:pt idx="8">
                  <c:v>0.42499999999999999</c:v>
                </c:pt>
                <c:pt idx="9">
                  <c:v>0.47499999999999998</c:v>
                </c:pt>
                <c:pt idx="10">
                  <c:v>0.52500000000000002</c:v>
                </c:pt>
                <c:pt idx="11">
                  <c:v>0.57499999999999996</c:v>
                </c:pt>
                <c:pt idx="12">
                  <c:v>0.625</c:v>
                </c:pt>
                <c:pt idx="13">
                  <c:v>0.67500000000000004</c:v>
                </c:pt>
                <c:pt idx="14">
                  <c:v>0.72499999999999998</c:v>
                </c:pt>
                <c:pt idx="15">
                  <c:v>0.77500000000000002</c:v>
                </c:pt>
                <c:pt idx="16">
                  <c:v>0.82499999999999996</c:v>
                </c:pt>
                <c:pt idx="17">
                  <c:v>0.875</c:v>
                </c:pt>
                <c:pt idx="18">
                  <c:v>0.92500000000000004</c:v>
                </c:pt>
                <c:pt idx="19">
                  <c:v>0.97499999999999998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EE-4EC2-A5C5-1A8583F25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655024"/>
        <c:axId val="473841136"/>
      </c:scatterChart>
      <c:valAx>
        <c:axId val="357655024"/>
        <c:scaling>
          <c:orientation val="minMax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 Plots'!$AA$2</c:f>
              <c:strCache>
                <c:ptCount val="1"/>
                <c:pt idx="0">
                  <c:v>z-Percentile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473841136"/>
        <c:crossesAt val="-0.2"/>
        <c:crossBetween val="midCat"/>
      </c:valAx>
      <c:valAx>
        <c:axId val="47384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 Plots'!$Z$2</c:f>
              <c:strCache>
                <c:ptCount val="1"/>
                <c:pt idx="0">
                  <c:v>Percentile (p)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357655024"/>
        <c:crossesAt val="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Weibull Probability Plot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714632545931759"/>
                  <c:y val="0.263124817731116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</c:trendlineLbl>
          </c:trendline>
          <c:xVal>
            <c:numRef>
              <c:f>'P Plots'!$E$47:$E$66</c:f>
              <c:numCache>
                <c:formatCode>General</c:formatCode>
                <c:ptCount val="20"/>
                <c:pt idx="0">
                  <c:v>-3.6762472579541758</c:v>
                </c:pt>
                <c:pt idx="1">
                  <c:v>-2.2503673273124454</c:v>
                </c:pt>
                <c:pt idx="2">
                  <c:v>-2.2503673273124454</c:v>
                </c:pt>
                <c:pt idx="3">
                  <c:v>-1.6483248395333732</c:v>
                </c:pt>
                <c:pt idx="4">
                  <c:v>-1.3669143735986529</c:v>
                </c:pt>
                <c:pt idx="5">
                  <c:v>-1.1344976629754648</c:v>
                </c:pt>
                <c:pt idx="6">
                  <c:v>-0.9338373062930091</c:v>
                </c:pt>
                <c:pt idx="7">
                  <c:v>-0.75501486250840832</c:v>
                </c:pt>
                <c:pt idx="8">
                  <c:v>-0.59170088675056343</c:v>
                </c:pt>
                <c:pt idx="9">
                  <c:v>-0.43950233320868604</c:v>
                </c:pt>
                <c:pt idx="10">
                  <c:v>-0.22501067302940858</c:v>
                </c:pt>
                <c:pt idx="11">
                  <c:v>-0.22501067302940858</c:v>
                </c:pt>
                <c:pt idx="12">
                  <c:v>4.8620744579389266E-2</c:v>
                </c:pt>
                <c:pt idx="13">
                  <c:v>4.8620744579389266E-2</c:v>
                </c:pt>
                <c:pt idx="14">
                  <c:v>0.32663425997828094</c:v>
                </c:pt>
                <c:pt idx="15">
                  <c:v>0.32663425997828094</c:v>
                </c:pt>
                <c:pt idx="16">
                  <c:v>0.55559015597468497</c:v>
                </c:pt>
                <c:pt idx="17">
                  <c:v>0.73209936808644527</c:v>
                </c:pt>
                <c:pt idx="18">
                  <c:v>0.95176102307336086</c:v>
                </c:pt>
                <c:pt idx="19">
                  <c:v>1.3053227409632364</c:v>
                </c:pt>
              </c:numCache>
            </c:numRef>
          </c:xVal>
          <c:yVal>
            <c:numRef>
              <c:f>'P Plots'!$D$47:$D$66</c:f>
              <c:numCache>
                <c:formatCode>General</c:formatCode>
                <c:ptCount val="20"/>
                <c:pt idx="0">
                  <c:v>3.8522730010223722</c:v>
                </c:pt>
                <c:pt idx="1">
                  <c:v>4.220977213155467</c:v>
                </c:pt>
                <c:pt idx="2">
                  <c:v>4.220977213155467</c:v>
                </c:pt>
                <c:pt idx="3">
                  <c:v>4.5086592856072478</c:v>
                </c:pt>
                <c:pt idx="4">
                  <c:v>4.6405373298253823</c:v>
                </c:pt>
                <c:pt idx="5">
                  <c:v>4.6634390941120669</c:v>
                </c:pt>
                <c:pt idx="6">
                  <c:v>4.7449321283632502</c:v>
                </c:pt>
                <c:pt idx="7">
                  <c:v>4.836281906951478</c:v>
                </c:pt>
                <c:pt idx="8">
                  <c:v>4.9877077894525508</c:v>
                </c:pt>
                <c:pt idx="9">
                  <c:v>5.43372200355424</c:v>
                </c:pt>
                <c:pt idx="10">
                  <c:v>5.4806389233419912</c:v>
                </c:pt>
                <c:pt idx="11">
                  <c:v>5.4806389233419912</c:v>
                </c:pt>
                <c:pt idx="12">
                  <c:v>5.6276211136906369</c:v>
                </c:pt>
                <c:pt idx="13">
                  <c:v>5.6276211136906369</c:v>
                </c:pt>
                <c:pt idx="14">
                  <c:v>5.6664266881124323</c:v>
                </c:pt>
                <c:pt idx="15">
                  <c:v>5.6664266881124323</c:v>
                </c:pt>
                <c:pt idx="16">
                  <c:v>5.9053618480545707</c:v>
                </c:pt>
                <c:pt idx="17">
                  <c:v>5.9555782685435732</c:v>
                </c:pt>
                <c:pt idx="18">
                  <c:v>5.9712618397904622</c:v>
                </c:pt>
                <c:pt idx="19">
                  <c:v>6.2245584292753602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5F-4C0A-842F-1B4AFED13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744400"/>
        <c:axId val="446027216"/>
      </c:scatterChart>
      <c:valAx>
        <c:axId val="36074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 Plots'!$E$46</c:f>
              <c:strCache>
                <c:ptCount val="1"/>
                <c:pt idx="0">
                  <c:v>ln(-ln(1-p))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446027216"/>
        <c:crossesAt val="3"/>
        <c:crossBetween val="midCat"/>
      </c:valAx>
      <c:valAx>
        <c:axId val="446027216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 Plots'!$D$46</c:f>
              <c:strCache>
                <c:ptCount val="1"/>
                <c:pt idx="0">
                  <c:v>ln (x)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360744400"/>
        <c:crossesAt val="-4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Normal Probability Plot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768722029617533"/>
                  <c:y val="0.228138735357277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</c:trendlineLbl>
          </c:trendline>
          <c:xVal>
            <c:numRef>
              <c:f>'P Plots'!$F$47:$F$66</c:f>
              <c:numCache>
                <c:formatCode>General</c:formatCode>
                <c:ptCount val="20"/>
                <c:pt idx="0">
                  <c:v>-1.9599639845400538</c:v>
                </c:pt>
                <c:pt idx="1">
                  <c:v>-1.2815515655446006</c:v>
                </c:pt>
                <c:pt idx="2">
                  <c:v>-1.2815515655446006</c:v>
                </c:pt>
                <c:pt idx="3">
                  <c:v>-0.93458929107347943</c:v>
                </c:pt>
                <c:pt idx="4">
                  <c:v>-0.75541502636046909</c:v>
                </c:pt>
                <c:pt idx="5">
                  <c:v>-0.59776012604247841</c:v>
                </c:pt>
                <c:pt idx="6">
                  <c:v>-0.45376219016987951</c:v>
                </c:pt>
                <c:pt idx="7">
                  <c:v>-0.3186393639643752</c:v>
                </c:pt>
                <c:pt idx="8">
                  <c:v>-0.18911842627279254</c:v>
                </c:pt>
                <c:pt idx="9">
                  <c:v>-6.2706777943213846E-2</c:v>
                </c:pt>
                <c:pt idx="10">
                  <c:v>0.12566134685507416</c:v>
                </c:pt>
                <c:pt idx="11">
                  <c:v>0.12566134685507416</c:v>
                </c:pt>
                <c:pt idx="12">
                  <c:v>0.38532046640756784</c:v>
                </c:pt>
                <c:pt idx="13">
                  <c:v>0.38532046640756784</c:v>
                </c:pt>
                <c:pt idx="14">
                  <c:v>0.67448975019608193</c:v>
                </c:pt>
                <c:pt idx="15">
                  <c:v>0.67448975019608193</c:v>
                </c:pt>
                <c:pt idx="16">
                  <c:v>0.9345892910734801</c:v>
                </c:pt>
                <c:pt idx="17">
                  <c:v>1.1503493803760083</c:v>
                </c:pt>
                <c:pt idx="18">
                  <c:v>1.4395314709384563</c:v>
                </c:pt>
                <c:pt idx="19">
                  <c:v>1.9599639845400536</c:v>
                </c:pt>
              </c:numCache>
            </c:numRef>
          </c:xVal>
          <c:yVal>
            <c:numRef>
              <c:f>'P Plots'!$C$47:$C$66</c:f>
              <c:numCache>
                <c:formatCode>General</c:formatCode>
                <c:ptCount val="20"/>
                <c:pt idx="0">
                  <c:v>2.5000000000000001E-2</c:v>
                </c:pt>
                <c:pt idx="1">
                  <c:v>0.1</c:v>
                </c:pt>
                <c:pt idx="2">
                  <c:v>0.1</c:v>
                </c:pt>
                <c:pt idx="3">
                  <c:v>0.17499999999999999</c:v>
                </c:pt>
                <c:pt idx="4">
                  <c:v>0.22500000000000001</c:v>
                </c:pt>
                <c:pt idx="5">
                  <c:v>0.27500000000000002</c:v>
                </c:pt>
                <c:pt idx="6">
                  <c:v>0.32500000000000001</c:v>
                </c:pt>
                <c:pt idx="7">
                  <c:v>0.375</c:v>
                </c:pt>
                <c:pt idx="8">
                  <c:v>0.42499999999999999</c:v>
                </c:pt>
                <c:pt idx="9">
                  <c:v>0.47499999999999998</c:v>
                </c:pt>
                <c:pt idx="10">
                  <c:v>0.55000000000000004</c:v>
                </c:pt>
                <c:pt idx="11">
                  <c:v>0.55000000000000004</c:v>
                </c:pt>
                <c:pt idx="12">
                  <c:v>0.65</c:v>
                </c:pt>
                <c:pt idx="13">
                  <c:v>0.65</c:v>
                </c:pt>
                <c:pt idx="14">
                  <c:v>0.75</c:v>
                </c:pt>
                <c:pt idx="15">
                  <c:v>0.75</c:v>
                </c:pt>
                <c:pt idx="16">
                  <c:v>0.82499999999999996</c:v>
                </c:pt>
                <c:pt idx="17">
                  <c:v>0.875</c:v>
                </c:pt>
                <c:pt idx="18">
                  <c:v>0.92500000000000004</c:v>
                </c:pt>
                <c:pt idx="19">
                  <c:v>0.97499999999999998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64-486B-AD49-F52C18665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487359"/>
        <c:axId val="358938432"/>
      </c:scatterChart>
      <c:valAx>
        <c:axId val="1713487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 Plots'!$F$46</c:f>
              <c:strCache>
                <c:ptCount val="1"/>
                <c:pt idx="0">
                  <c:v>z- Percentile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358938432"/>
        <c:crossesAt val="-0.2"/>
        <c:crossBetween val="midCat"/>
      </c:valAx>
      <c:valAx>
        <c:axId val="35893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 Plots'!$C$46</c:f>
              <c:strCache>
                <c:ptCount val="1"/>
                <c:pt idx="0">
                  <c:v>Percentile (p)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713487359"/>
        <c:crossesAt val="-2.5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Normal Probability Plot (x)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</c:trendlineLbl>
          </c:trendline>
          <c:xVal>
            <c:numRef>
              <c:f>'P Plots'!$D$95:$D$124</c:f>
              <c:numCache>
                <c:formatCode>General</c:formatCode>
                <c:ptCount val="30"/>
                <c:pt idx="0">
                  <c:v>-1.0364333894937898</c:v>
                </c:pt>
                <c:pt idx="1">
                  <c:v>0.21042839424792484</c:v>
                </c:pt>
                <c:pt idx="2">
                  <c:v>-0.84162123357291452</c:v>
                </c:pt>
                <c:pt idx="3">
                  <c:v>-0.34069482708779553</c:v>
                </c:pt>
                <c:pt idx="4">
                  <c:v>0.47704042848944361</c:v>
                </c:pt>
                <c:pt idx="5">
                  <c:v>-0.34069482708779553</c:v>
                </c:pt>
                <c:pt idx="6">
                  <c:v>-1.6448536269514726</c:v>
                </c:pt>
                <c:pt idx="7">
                  <c:v>-4.178929781645381E-2</c:v>
                </c:pt>
                <c:pt idx="8">
                  <c:v>1.6448536269514715</c:v>
                </c:pt>
                <c:pt idx="9">
                  <c:v>0.78350037538977446</c:v>
                </c:pt>
                <c:pt idx="10">
                  <c:v>1.1918161716813944</c:v>
                </c:pt>
                <c:pt idx="11">
                  <c:v>1.3829941271006372</c:v>
                </c:pt>
                <c:pt idx="12">
                  <c:v>4.1789297816453949E-2</c:v>
                </c:pt>
                <c:pt idx="13">
                  <c:v>0.67448975019608193</c:v>
                </c:pt>
                <c:pt idx="14">
                  <c:v>-1.3829941271006392</c:v>
                </c:pt>
                <c:pt idx="15">
                  <c:v>0.12566134685507416</c:v>
                </c:pt>
                <c:pt idx="16">
                  <c:v>-0.21042839424792467</c:v>
                </c:pt>
                <c:pt idx="17">
                  <c:v>-2.128045234184984</c:v>
                </c:pt>
                <c:pt idx="18">
                  <c:v>-1.1918161716813944</c:v>
                </c:pt>
                <c:pt idx="19">
                  <c:v>-0.84162123357291452</c:v>
                </c:pt>
                <c:pt idx="20">
                  <c:v>1.0364333894937898</c:v>
                </c:pt>
                <c:pt idx="21">
                  <c:v>0.29673783825989819</c:v>
                </c:pt>
                <c:pt idx="22">
                  <c:v>-0.47704042848944361</c:v>
                </c:pt>
                <c:pt idx="23">
                  <c:v>-0.12566134685507402</c:v>
                </c:pt>
                <c:pt idx="24">
                  <c:v>2.128045234184984</c:v>
                </c:pt>
                <c:pt idx="25">
                  <c:v>0.90273479164386372</c:v>
                </c:pt>
                <c:pt idx="26">
                  <c:v>-0.57296754849546372</c:v>
                </c:pt>
                <c:pt idx="27">
                  <c:v>0.38532046640756784</c:v>
                </c:pt>
                <c:pt idx="28">
                  <c:v>-0.67448975019608193</c:v>
                </c:pt>
                <c:pt idx="29">
                  <c:v>0.57296754849546372</c:v>
                </c:pt>
              </c:numCache>
            </c:numRef>
          </c:xVal>
          <c:yVal>
            <c:numRef>
              <c:f>'P Plots'!$C$95:$C$124</c:f>
              <c:numCache>
                <c:formatCode>General</c:formatCode>
                <c:ptCount val="30"/>
                <c:pt idx="0">
                  <c:v>0.15</c:v>
                </c:pt>
                <c:pt idx="1">
                  <c:v>0.58333333333333337</c:v>
                </c:pt>
                <c:pt idx="2">
                  <c:v>0.2</c:v>
                </c:pt>
                <c:pt idx="3">
                  <c:v>0.36666666666666664</c:v>
                </c:pt>
                <c:pt idx="4">
                  <c:v>0.68333333333333335</c:v>
                </c:pt>
                <c:pt idx="5">
                  <c:v>0.36666666666666664</c:v>
                </c:pt>
                <c:pt idx="6">
                  <c:v>0.05</c:v>
                </c:pt>
                <c:pt idx="7">
                  <c:v>0.48333333333333334</c:v>
                </c:pt>
                <c:pt idx="8">
                  <c:v>0.95</c:v>
                </c:pt>
                <c:pt idx="9">
                  <c:v>0.78333333333333333</c:v>
                </c:pt>
                <c:pt idx="10">
                  <c:v>0.8833333333333333</c:v>
                </c:pt>
                <c:pt idx="11">
                  <c:v>0.91666666666666663</c:v>
                </c:pt>
                <c:pt idx="12">
                  <c:v>0.51666666666666672</c:v>
                </c:pt>
                <c:pt idx="13">
                  <c:v>0.75</c:v>
                </c:pt>
                <c:pt idx="14">
                  <c:v>8.3333333333333329E-2</c:v>
                </c:pt>
                <c:pt idx="15">
                  <c:v>0.55000000000000004</c:v>
                </c:pt>
                <c:pt idx="16">
                  <c:v>0.41666666666666669</c:v>
                </c:pt>
                <c:pt idx="17">
                  <c:v>1.6666666666666666E-2</c:v>
                </c:pt>
                <c:pt idx="18">
                  <c:v>0.11666666666666667</c:v>
                </c:pt>
                <c:pt idx="19">
                  <c:v>0.2</c:v>
                </c:pt>
                <c:pt idx="20">
                  <c:v>0.85</c:v>
                </c:pt>
                <c:pt idx="21">
                  <c:v>0.6166666666666667</c:v>
                </c:pt>
                <c:pt idx="22">
                  <c:v>0.31666666666666665</c:v>
                </c:pt>
                <c:pt idx="23">
                  <c:v>0.45</c:v>
                </c:pt>
                <c:pt idx="24">
                  <c:v>0.98333333333333328</c:v>
                </c:pt>
                <c:pt idx="25">
                  <c:v>0.81666666666666665</c:v>
                </c:pt>
                <c:pt idx="26">
                  <c:v>0.28333333333333333</c:v>
                </c:pt>
                <c:pt idx="27">
                  <c:v>0.65</c:v>
                </c:pt>
                <c:pt idx="28">
                  <c:v>0.25</c:v>
                </c:pt>
                <c:pt idx="29">
                  <c:v>0.71666666666666667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A0-4BE0-8D36-22F1ED7D3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616848"/>
        <c:axId val="449943600"/>
      </c:scatterChart>
      <c:valAx>
        <c:axId val="107061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 Plots'!$D$94</c:f>
              <c:strCache>
                <c:ptCount val="1"/>
                <c:pt idx="0">
                  <c:v>Z- Percentile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449943600"/>
        <c:crossesAt val="-0.2"/>
        <c:crossBetween val="midCat"/>
      </c:valAx>
      <c:valAx>
        <c:axId val="44994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 Plots'!$C$94</c:f>
              <c:strCache>
                <c:ptCount val="1"/>
                <c:pt idx="0">
                  <c:v>Percentile (p)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070616848"/>
        <c:crossesAt val="-2.5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  <a:r>
              <a:rPr lang="en-US" baseline="0"/>
              <a:t> Probability Plot (x </a:t>
            </a:r>
            <a:r>
              <a:rPr lang="en-US" sz="1200" baseline="30000"/>
              <a:t>1/2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4902363732862701E-2"/>
                  <c:y val="0.216803261973645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</c:trendlineLbl>
          </c:trendline>
          <c:xVal>
            <c:numRef>
              <c:f>'P Plots'!$D$95:$D$124</c:f>
              <c:numCache>
                <c:formatCode>General</c:formatCode>
                <c:ptCount val="30"/>
                <c:pt idx="0">
                  <c:v>-1.0364333894937898</c:v>
                </c:pt>
                <c:pt idx="1">
                  <c:v>0.21042839424792484</c:v>
                </c:pt>
                <c:pt idx="2">
                  <c:v>-0.84162123357291452</c:v>
                </c:pt>
                <c:pt idx="3">
                  <c:v>-0.34069482708779553</c:v>
                </c:pt>
                <c:pt idx="4">
                  <c:v>0.47704042848944361</c:v>
                </c:pt>
                <c:pt idx="5">
                  <c:v>-0.34069482708779553</c:v>
                </c:pt>
                <c:pt idx="6">
                  <c:v>-1.6448536269514726</c:v>
                </c:pt>
                <c:pt idx="7">
                  <c:v>-4.178929781645381E-2</c:v>
                </c:pt>
                <c:pt idx="8">
                  <c:v>1.6448536269514715</c:v>
                </c:pt>
                <c:pt idx="9">
                  <c:v>0.78350037538977446</c:v>
                </c:pt>
                <c:pt idx="10">
                  <c:v>1.1918161716813944</c:v>
                </c:pt>
                <c:pt idx="11">
                  <c:v>1.3829941271006372</c:v>
                </c:pt>
                <c:pt idx="12">
                  <c:v>4.1789297816453949E-2</c:v>
                </c:pt>
                <c:pt idx="13">
                  <c:v>0.67448975019608193</c:v>
                </c:pt>
                <c:pt idx="14">
                  <c:v>-1.3829941271006392</c:v>
                </c:pt>
                <c:pt idx="15">
                  <c:v>0.12566134685507416</c:v>
                </c:pt>
                <c:pt idx="16">
                  <c:v>-0.21042839424792467</c:v>
                </c:pt>
                <c:pt idx="17">
                  <c:v>-2.128045234184984</c:v>
                </c:pt>
                <c:pt idx="18">
                  <c:v>-1.1918161716813944</c:v>
                </c:pt>
                <c:pt idx="19">
                  <c:v>-0.84162123357291452</c:v>
                </c:pt>
                <c:pt idx="20">
                  <c:v>1.0364333894937898</c:v>
                </c:pt>
                <c:pt idx="21">
                  <c:v>0.29673783825989819</c:v>
                </c:pt>
                <c:pt idx="22">
                  <c:v>-0.47704042848944361</c:v>
                </c:pt>
                <c:pt idx="23">
                  <c:v>-0.12566134685507402</c:v>
                </c:pt>
                <c:pt idx="24">
                  <c:v>2.128045234184984</c:v>
                </c:pt>
                <c:pt idx="25">
                  <c:v>0.90273479164386372</c:v>
                </c:pt>
                <c:pt idx="26">
                  <c:v>-0.57296754849546372</c:v>
                </c:pt>
                <c:pt idx="27">
                  <c:v>0.38532046640756784</c:v>
                </c:pt>
                <c:pt idx="28">
                  <c:v>-0.67448975019608193</c:v>
                </c:pt>
                <c:pt idx="29">
                  <c:v>0.57296754849546372</c:v>
                </c:pt>
              </c:numCache>
            </c:numRef>
          </c:xVal>
          <c:yVal>
            <c:numRef>
              <c:f>'P Plots'!$E$95:$E$124</c:f>
              <c:numCache>
                <c:formatCode>General</c:formatCode>
                <c:ptCount val="30"/>
                <c:pt idx="0">
                  <c:v>0.87749643873921224</c:v>
                </c:pt>
                <c:pt idx="1">
                  <c:v>1.3190905958272918</c:v>
                </c:pt>
                <c:pt idx="2">
                  <c:v>0.9</c:v>
                </c:pt>
                <c:pt idx="3">
                  <c:v>1.0954451150103321</c:v>
                </c:pt>
                <c:pt idx="4">
                  <c:v>1.3964240043768941</c:v>
                </c:pt>
                <c:pt idx="5">
                  <c:v>1.0954451150103321</c:v>
                </c:pt>
                <c:pt idx="6">
                  <c:v>0.68556546004010444</c:v>
                </c:pt>
                <c:pt idx="7">
                  <c:v>1.1958260743101399</c:v>
                </c:pt>
                <c:pt idx="8">
                  <c:v>1.8357559750685819</c:v>
                </c:pt>
                <c:pt idx="9">
                  <c:v>1.4832396974191326</c:v>
                </c:pt>
                <c:pt idx="10">
                  <c:v>1.7320508075688772</c:v>
                </c:pt>
                <c:pt idx="11">
                  <c:v>1.7578395831246945</c:v>
                </c:pt>
                <c:pt idx="12">
                  <c:v>1.2288205727444508</c:v>
                </c:pt>
                <c:pt idx="13">
                  <c:v>1.4491376746189439</c:v>
                </c:pt>
                <c:pt idx="14">
                  <c:v>0.72111025509279791</c:v>
                </c:pt>
                <c:pt idx="15">
                  <c:v>1.2727922061357855</c:v>
                </c:pt>
                <c:pt idx="16">
                  <c:v>1.1445523142259597</c:v>
                </c:pt>
                <c:pt idx="17">
                  <c:v>0.56568542494923801</c:v>
                </c:pt>
                <c:pt idx="18">
                  <c:v>0.76811457478686085</c:v>
                </c:pt>
                <c:pt idx="19">
                  <c:v>0.9</c:v>
                </c:pt>
                <c:pt idx="20">
                  <c:v>1.6763054614240209</c:v>
                </c:pt>
                <c:pt idx="21">
                  <c:v>1.3674794331177345</c:v>
                </c:pt>
                <c:pt idx="22">
                  <c:v>1.0862780491200215</c:v>
                </c:pt>
                <c:pt idx="23">
                  <c:v>1.1618950038622251</c:v>
                </c:pt>
                <c:pt idx="24">
                  <c:v>2.179449471770337</c:v>
                </c:pt>
                <c:pt idx="25">
                  <c:v>1.5748015748023623</c:v>
                </c:pt>
                <c:pt idx="26">
                  <c:v>0.9797958971132712</c:v>
                </c:pt>
                <c:pt idx="27">
                  <c:v>1.374772708486752</c:v>
                </c:pt>
                <c:pt idx="28">
                  <c:v>0.94868329805051377</c:v>
                </c:pt>
                <c:pt idx="29">
                  <c:v>1.4317821063276353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7F-47BA-816F-3A4399752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4044287"/>
        <c:axId val="480126624"/>
      </c:scatterChart>
      <c:valAx>
        <c:axId val="1694044287"/>
        <c:scaling>
          <c:orientation val="minMax"/>
          <c:min val="-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 Plots'!$D$94</c:f>
              <c:strCache>
                <c:ptCount val="1"/>
                <c:pt idx="0">
                  <c:v>Z- Percentile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480126624"/>
        <c:crosses val="autoZero"/>
        <c:crossBetween val="midCat"/>
      </c:valAx>
      <c:valAx>
        <c:axId val="48012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 Plots'!$E$94</c:f>
              <c:strCache>
                <c:ptCount val="1"/>
                <c:pt idx="0">
                  <c:v>Sqrt (x)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694044287"/>
        <c:crossesAt val="-2.5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  <a:r>
              <a:rPr lang="en-US" baseline="0"/>
              <a:t> x </a:t>
            </a:r>
            <a:r>
              <a:rPr lang="en-US" sz="1000" baseline="30000"/>
              <a:t>1/3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0645414492531297E-2"/>
                  <c:y val="0.19861817836888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</c:trendlineLbl>
          </c:trendline>
          <c:xVal>
            <c:numRef>
              <c:f>'P Plots'!$D$95:$D$124</c:f>
              <c:numCache>
                <c:formatCode>General</c:formatCode>
                <c:ptCount val="30"/>
                <c:pt idx="0">
                  <c:v>-1.0364333894937898</c:v>
                </c:pt>
                <c:pt idx="1">
                  <c:v>0.21042839424792484</c:v>
                </c:pt>
                <c:pt idx="2">
                  <c:v>-0.84162123357291452</c:v>
                </c:pt>
                <c:pt idx="3">
                  <c:v>-0.34069482708779553</c:v>
                </c:pt>
                <c:pt idx="4">
                  <c:v>0.47704042848944361</c:v>
                </c:pt>
                <c:pt idx="5">
                  <c:v>-0.34069482708779553</c:v>
                </c:pt>
                <c:pt idx="6">
                  <c:v>-1.6448536269514726</c:v>
                </c:pt>
                <c:pt idx="7">
                  <c:v>-4.178929781645381E-2</c:v>
                </c:pt>
                <c:pt idx="8">
                  <c:v>1.6448536269514715</c:v>
                </c:pt>
                <c:pt idx="9">
                  <c:v>0.78350037538977446</c:v>
                </c:pt>
                <c:pt idx="10">
                  <c:v>1.1918161716813944</c:v>
                </c:pt>
                <c:pt idx="11">
                  <c:v>1.3829941271006372</c:v>
                </c:pt>
                <c:pt idx="12">
                  <c:v>4.1789297816453949E-2</c:v>
                </c:pt>
                <c:pt idx="13">
                  <c:v>0.67448975019608193</c:v>
                </c:pt>
                <c:pt idx="14">
                  <c:v>-1.3829941271006392</c:v>
                </c:pt>
                <c:pt idx="15">
                  <c:v>0.12566134685507416</c:v>
                </c:pt>
                <c:pt idx="16">
                  <c:v>-0.21042839424792467</c:v>
                </c:pt>
                <c:pt idx="17">
                  <c:v>-2.128045234184984</c:v>
                </c:pt>
                <c:pt idx="18">
                  <c:v>-1.1918161716813944</c:v>
                </c:pt>
                <c:pt idx="19">
                  <c:v>-0.84162123357291452</c:v>
                </c:pt>
                <c:pt idx="20">
                  <c:v>1.0364333894937898</c:v>
                </c:pt>
                <c:pt idx="21">
                  <c:v>0.29673783825989819</c:v>
                </c:pt>
                <c:pt idx="22">
                  <c:v>-0.47704042848944361</c:v>
                </c:pt>
                <c:pt idx="23">
                  <c:v>-0.12566134685507402</c:v>
                </c:pt>
                <c:pt idx="24">
                  <c:v>2.128045234184984</c:v>
                </c:pt>
                <c:pt idx="25">
                  <c:v>0.90273479164386372</c:v>
                </c:pt>
                <c:pt idx="26">
                  <c:v>-0.57296754849546372</c:v>
                </c:pt>
                <c:pt idx="27">
                  <c:v>0.38532046640756784</c:v>
                </c:pt>
                <c:pt idx="28">
                  <c:v>-0.67448975019608193</c:v>
                </c:pt>
                <c:pt idx="29">
                  <c:v>0.57296754849546372</c:v>
                </c:pt>
              </c:numCache>
            </c:numRef>
          </c:xVal>
          <c:yVal>
            <c:numRef>
              <c:f>'P Plots'!$F$95:$F$124</c:f>
              <c:numCache>
                <c:formatCode>General</c:formatCode>
                <c:ptCount val="30"/>
                <c:pt idx="0">
                  <c:v>-1.0119998898246578</c:v>
                </c:pt>
                <c:pt idx="1">
                  <c:v>0.5947961020136221</c:v>
                </c:pt>
                <c:pt idx="2">
                  <c:v>-0.94414542848477034</c:v>
                </c:pt>
                <c:pt idx="3">
                  <c:v>-0.69842832901750751</c:v>
                </c:pt>
                <c:pt idx="4">
                  <c:v>0.78136099690828653</c:v>
                </c:pt>
                <c:pt idx="5">
                  <c:v>-0.69842832901750751</c:v>
                </c:pt>
                <c:pt idx="6">
                  <c:v>-1.180435926973618</c:v>
                </c:pt>
                <c:pt idx="7">
                  <c:v>-0.34702041481559587</c:v>
                </c:pt>
                <c:pt idx="8">
                  <c:v>1.1804359269736178</c:v>
                </c:pt>
                <c:pt idx="9">
                  <c:v>0.92189134200624623</c:v>
                </c:pt>
                <c:pt idx="10">
                  <c:v>1.0602373301746117</c:v>
                </c:pt>
                <c:pt idx="11">
                  <c:v>1.1141408859665853</c:v>
                </c:pt>
                <c:pt idx="12">
                  <c:v>0.34702041481559626</c:v>
                </c:pt>
                <c:pt idx="13">
                  <c:v>0.87698423174869233</c:v>
                </c:pt>
                <c:pt idx="14">
                  <c:v>-1.1141408859665858</c:v>
                </c:pt>
                <c:pt idx="15">
                  <c:v>0.5008802452340323</c:v>
                </c:pt>
                <c:pt idx="16">
                  <c:v>-0.59479610201362187</c:v>
                </c:pt>
                <c:pt idx="17">
                  <c:v>-1.2862546319750885</c:v>
                </c:pt>
                <c:pt idx="18">
                  <c:v>-1.0602373301746117</c:v>
                </c:pt>
                <c:pt idx="19">
                  <c:v>-0.94414542848477034</c:v>
                </c:pt>
                <c:pt idx="20">
                  <c:v>1.0119998898246578</c:v>
                </c:pt>
                <c:pt idx="21">
                  <c:v>0.66699765877850437</c:v>
                </c:pt>
                <c:pt idx="22">
                  <c:v>-0.78136099690828653</c:v>
                </c:pt>
                <c:pt idx="23">
                  <c:v>-0.50088024523403207</c:v>
                </c:pt>
                <c:pt idx="24">
                  <c:v>1.2862546319750885</c:v>
                </c:pt>
                <c:pt idx="25">
                  <c:v>0.96646632622446427</c:v>
                </c:pt>
                <c:pt idx="26">
                  <c:v>-0.83057083125134212</c:v>
                </c:pt>
                <c:pt idx="27">
                  <c:v>0.72768042519052456</c:v>
                </c:pt>
                <c:pt idx="28">
                  <c:v>-0.87698423174869233</c:v>
                </c:pt>
                <c:pt idx="29">
                  <c:v>0.83057083125134212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63-4DC0-9144-030725787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334624"/>
        <c:axId val="480128608"/>
      </c:scatterChart>
      <c:valAx>
        <c:axId val="1534334624"/>
        <c:scaling>
          <c:orientation val="minMax"/>
          <c:min val="-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 Plots'!$D$94</c:f>
              <c:strCache>
                <c:ptCount val="1"/>
                <c:pt idx="0">
                  <c:v>Z- Percentile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480128608"/>
        <c:crossesAt val="-2"/>
        <c:crossBetween val="midCat"/>
      </c:valAx>
      <c:valAx>
        <c:axId val="48012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 Plots'!$F$94</c:f>
              <c:strCache>
                <c:ptCount val="1"/>
                <c:pt idx="0">
                  <c:v>Cube-root (x)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534334624"/>
        <c:crossesAt val="-2.5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Normal Probability Plot (x)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51614855100266"/>
                  <c:y val="0.190226524164818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</c:trendlineLbl>
          </c:trendline>
          <c:xVal>
            <c:numRef>
              <c:f>'P Plots'!$D$95:$D$124</c:f>
              <c:numCache>
                <c:formatCode>General</c:formatCode>
                <c:ptCount val="30"/>
                <c:pt idx="0">
                  <c:v>-1.0364333894937898</c:v>
                </c:pt>
                <c:pt idx="1">
                  <c:v>0.21042839424792484</c:v>
                </c:pt>
                <c:pt idx="2">
                  <c:v>-0.84162123357291452</c:v>
                </c:pt>
                <c:pt idx="3">
                  <c:v>-0.34069482708779553</c:v>
                </c:pt>
                <c:pt idx="4">
                  <c:v>0.47704042848944361</c:v>
                </c:pt>
                <c:pt idx="5">
                  <c:v>-0.34069482708779553</c:v>
                </c:pt>
                <c:pt idx="6">
                  <c:v>-1.6448536269514726</c:v>
                </c:pt>
                <c:pt idx="7">
                  <c:v>-4.178929781645381E-2</c:v>
                </c:pt>
                <c:pt idx="8">
                  <c:v>1.6448536269514715</c:v>
                </c:pt>
                <c:pt idx="9">
                  <c:v>0.78350037538977446</c:v>
                </c:pt>
                <c:pt idx="10">
                  <c:v>1.1918161716813944</c:v>
                </c:pt>
                <c:pt idx="11">
                  <c:v>1.3829941271006372</c:v>
                </c:pt>
                <c:pt idx="12">
                  <c:v>4.1789297816453949E-2</c:v>
                </c:pt>
                <c:pt idx="13">
                  <c:v>0.67448975019608193</c:v>
                </c:pt>
                <c:pt idx="14">
                  <c:v>-1.3829941271006392</c:v>
                </c:pt>
                <c:pt idx="15">
                  <c:v>0.12566134685507416</c:v>
                </c:pt>
                <c:pt idx="16">
                  <c:v>-0.21042839424792467</c:v>
                </c:pt>
                <c:pt idx="17">
                  <c:v>-2.128045234184984</c:v>
                </c:pt>
                <c:pt idx="18">
                  <c:v>-1.1918161716813944</c:v>
                </c:pt>
                <c:pt idx="19">
                  <c:v>-0.84162123357291452</c:v>
                </c:pt>
                <c:pt idx="20">
                  <c:v>1.0364333894937898</c:v>
                </c:pt>
                <c:pt idx="21">
                  <c:v>0.29673783825989819</c:v>
                </c:pt>
                <c:pt idx="22">
                  <c:v>-0.47704042848944361</c:v>
                </c:pt>
                <c:pt idx="23">
                  <c:v>-0.12566134685507402</c:v>
                </c:pt>
                <c:pt idx="24">
                  <c:v>2.128045234184984</c:v>
                </c:pt>
                <c:pt idx="25">
                  <c:v>0.90273479164386372</c:v>
                </c:pt>
                <c:pt idx="26">
                  <c:v>-0.57296754849546372</c:v>
                </c:pt>
                <c:pt idx="27">
                  <c:v>0.38532046640756784</c:v>
                </c:pt>
                <c:pt idx="28">
                  <c:v>-0.67448975019608193</c:v>
                </c:pt>
                <c:pt idx="29">
                  <c:v>0.57296754849546372</c:v>
                </c:pt>
              </c:numCache>
            </c:numRef>
          </c:xVal>
          <c:yVal>
            <c:numRef>
              <c:f>'P Plots'!$A$95:$A$124</c:f>
              <c:numCache>
                <c:formatCode>General</c:formatCode>
                <c:ptCount val="30"/>
                <c:pt idx="0">
                  <c:v>0.77</c:v>
                </c:pt>
                <c:pt idx="1">
                  <c:v>1.74</c:v>
                </c:pt>
                <c:pt idx="2">
                  <c:v>0.81</c:v>
                </c:pt>
                <c:pt idx="3">
                  <c:v>1.2</c:v>
                </c:pt>
                <c:pt idx="4">
                  <c:v>1.95</c:v>
                </c:pt>
                <c:pt idx="5">
                  <c:v>1.2</c:v>
                </c:pt>
                <c:pt idx="6">
                  <c:v>0.47</c:v>
                </c:pt>
                <c:pt idx="7">
                  <c:v>1.43</c:v>
                </c:pt>
                <c:pt idx="8">
                  <c:v>3.37</c:v>
                </c:pt>
                <c:pt idx="9">
                  <c:v>2.2000000000000002</c:v>
                </c:pt>
                <c:pt idx="10">
                  <c:v>3</c:v>
                </c:pt>
                <c:pt idx="11">
                  <c:v>3.09</c:v>
                </c:pt>
                <c:pt idx="12">
                  <c:v>1.51</c:v>
                </c:pt>
                <c:pt idx="13">
                  <c:v>2.1</c:v>
                </c:pt>
                <c:pt idx="14">
                  <c:v>0.52</c:v>
                </c:pt>
                <c:pt idx="15">
                  <c:v>1.62</c:v>
                </c:pt>
                <c:pt idx="16">
                  <c:v>1.31</c:v>
                </c:pt>
                <c:pt idx="17">
                  <c:v>0.32</c:v>
                </c:pt>
                <c:pt idx="18">
                  <c:v>0.59</c:v>
                </c:pt>
                <c:pt idx="19">
                  <c:v>0.81</c:v>
                </c:pt>
                <c:pt idx="20">
                  <c:v>2.81</c:v>
                </c:pt>
                <c:pt idx="21">
                  <c:v>1.87</c:v>
                </c:pt>
                <c:pt idx="22">
                  <c:v>1.18</c:v>
                </c:pt>
                <c:pt idx="23">
                  <c:v>1.35</c:v>
                </c:pt>
                <c:pt idx="24">
                  <c:v>4.75</c:v>
                </c:pt>
                <c:pt idx="25">
                  <c:v>2.48</c:v>
                </c:pt>
                <c:pt idx="26">
                  <c:v>0.96</c:v>
                </c:pt>
                <c:pt idx="27">
                  <c:v>1.89</c:v>
                </c:pt>
                <c:pt idx="28">
                  <c:v>0.9</c:v>
                </c:pt>
                <c:pt idx="29">
                  <c:v>2.0499999999999998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76-455A-BE47-B73DB4E8B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425536"/>
        <c:axId val="439282288"/>
      </c:scatterChart>
      <c:valAx>
        <c:axId val="35942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 Plots'!$D$94</c:f>
              <c:strCache>
                <c:ptCount val="1"/>
                <c:pt idx="0">
                  <c:v>Z- Percentile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439282288"/>
        <c:crossesAt val="-1"/>
        <c:crossBetween val="midCat"/>
      </c:valAx>
      <c:valAx>
        <c:axId val="43928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 Plots'!$A$94</c:f>
              <c:strCache>
                <c:ptCount val="1"/>
                <c:pt idx="0">
                  <c:v>Obs (x)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359425536"/>
        <c:crossesAt val="-3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boxWhisker" uniqueId="{D3F819E2-B944-488B-9864-B16201D2E89B}">
          <cx:spPr>
            <a:solidFill>
              <a:schemeClr val="tx2">
                <a:lumMod val="20000"/>
                <a:lumOff val="80000"/>
              </a:schemeClr>
            </a:solidFill>
          </cx:spPr>
          <cx:dataLabels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3.7999999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1.xml"/><Relationship Id="rId11" Type="http://schemas.openxmlformats.org/officeDocument/2006/relationships/chart" Target="../charts/chart10.xml"/><Relationship Id="rId5" Type="http://schemas.openxmlformats.org/officeDocument/2006/relationships/chart" Target="../charts/chart5.xml"/><Relationship Id="rId10" Type="http://schemas.openxmlformats.org/officeDocument/2006/relationships/chart" Target="../charts/chart9.xml"/><Relationship Id="rId4" Type="http://schemas.openxmlformats.org/officeDocument/2006/relationships/chart" Target="../charts/chart4.xml"/><Relationship Id="rId9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12</xdr:col>
      <xdr:colOff>688730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364EB5-D499-E175-3EE4-06632F55CF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22</xdr:row>
      <xdr:rowOff>183172</xdr:rowOff>
    </xdr:from>
    <xdr:to>
      <xdr:col>13</xdr:col>
      <xdr:colOff>0</xdr:colOff>
      <xdr:row>41</xdr:row>
      <xdr:rowOff>183172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6D3BC6-4BD5-92E8-6A1C-980FA28A1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13</xdr:row>
      <xdr:rowOff>0</xdr:rowOff>
    </xdr:from>
    <xdr:to>
      <xdr:col>22</xdr:col>
      <xdr:colOff>0</xdr:colOff>
      <xdr:row>33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BBEA546-A201-8CD4-50DC-56A24DCD2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688730</xdr:colOff>
      <xdr:row>24</xdr:row>
      <xdr:rowOff>0</xdr:rowOff>
    </xdr:from>
    <xdr:to>
      <xdr:col>31</xdr:col>
      <xdr:colOff>0</xdr:colOff>
      <xdr:row>45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7B65D69-90E4-E5FB-BB2C-BB275697A9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45</xdr:row>
      <xdr:rowOff>0</xdr:rowOff>
    </xdr:from>
    <xdr:to>
      <xdr:col>15</xdr:col>
      <xdr:colOff>0</xdr:colOff>
      <xdr:row>65</xdr:row>
      <xdr:rowOff>183173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4DCE12D-EA89-DD14-2FB7-7CF7E8363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3663</xdr:colOff>
      <xdr:row>66</xdr:row>
      <xdr:rowOff>170716</xdr:rowOff>
    </xdr:from>
    <xdr:to>
      <xdr:col>3</xdr:col>
      <xdr:colOff>285750</xdr:colOff>
      <xdr:row>91</xdr:row>
      <xdr:rowOff>14654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0C2934CE-E28E-8C1E-0AFB-918878150F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63" y="12267466"/>
              <a:ext cx="2672862" cy="43683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KE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1</xdr:colOff>
      <xdr:row>67</xdr:row>
      <xdr:rowOff>0</xdr:rowOff>
    </xdr:from>
    <xdr:to>
      <xdr:col>15</xdr:col>
      <xdr:colOff>1</xdr:colOff>
      <xdr:row>86</xdr:row>
      <xdr:rowOff>73269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ABDCADB-6B5D-CCFB-D27F-79E112C80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92</xdr:row>
      <xdr:rowOff>183173</xdr:rowOff>
    </xdr:from>
    <xdr:to>
      <xdr:col>17</xdr:col>
      <xdr:colOff>0</xdr:colOff>
      <xdr:row>123</xdr:row>
      <xdr:rowOff>183172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9796076-7078-C478-EB42-DB68C33F12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142</xdr:row>
      <xdr:rowOff>0</xdr:rowOff>
    </xdr:from>
    <xdr:to>
      <xdr:col>5</xdr:col>
      <xdr:colOff>1018442</xdr:colOff>
      <xdr:row>159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F2886F0-8A51-4A57-3D16-CF51556E4A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159</xdr:row>
      <xdr:rowOff>183172</xdr:rowOff>
    </xdr:from>
    <xdr:to>
      <xdr:col>5</xdr:col>
      <xdr:colOff>1018442</xdr:colOff>
      <xdr:row>175</xdr:row>
      <xdr:rowOff>183172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8A10DC2-8AAD-FF03-448D-961291F740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125</xdr:row>
      <xdr:rowOff>0</xdr:rowOff>
    </xdr:from>
    <xdr:to>
      <xdr:col>5</xdr:col>
      <xdr:colOff>1018442</xdr:colOff>
      <xdr:row>141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E76AB1E-4D62-6B09-EF3E-2F434B5E8B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USER" id="{47502BCA-1E6F-4883-A80F-9C426296F429}" userId="USER" providerId="Non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mpany" tableColumnId="1"/>
      <queryTableField id="2" name="&lt;=1996" tableColumnId="2"/>
      <queryTableField id="3" name="1996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2C716B-002D-4744-9DE0-AFCF83060CB8}" name="Table1" displayName="Table1" ref="A2:A11" totalsRowShown="0">
  <autoFilter ref="A2:A11" xr:uid="{C72C716B-002D-4744-9DE0-AFCF83060CB8}"/>
  <tableColumns count="1">
    <tableColumn id="1" xr3:uid="{2CC8368C-9376-4CC7-82C5-EBBCDC96339D}" name="Sampl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CAC3C5-9E1D-4C09-AC2E-379D0DA9313F}" name="Table2" displayName="Table2" ref="G45:G55" totalsRowShown="0">
  <autoFilter ref="G45:G55" xr:uid="{EBCAC3C5-9E1D-4C09-AC2E-379D0DA9313F}"/>
  <tableColumns count="1">
    <tableColumn id="1" xr3:uid="{0A72CC8A-E238-4D78-B693-28F763C182A0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086EFF-137D-45AF-8C80-D6AF4AD1A28A}" name="Table2_16" displayName="Table2_16" ref="I45:K55" tableType="queryTable" totalsRowShown="0">
  <autoFilter ref="I45:K55" xr:uid="{D4086EFF-137D-45AF-8C80-D6AF4AD1A28A}"/>
  <tableColumns count="3">
    <tableColumn id="1" xr3:uid="{26FA452B-C566-46A4-92EF-8379459AA1CB}" uniqueName="1" name="Company" queryTableFieldId="1" dataDxfId="0"/>
    <tableColumn id="2" xr3:uid="{4A52D8AB-9CB5-411C-8ED6-2C8A7DE22B97}" uniqueName="2" name="&lt;=1996" queryTableFieldId="2"/>
    <tableColumn id="3" xr3:uid="{361B0569-24F7-45B4-BB7F-AF29E0FAA1A7}" uniqueName="3" name="1996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2DB66C-AD3F-46B6-B4BC-A47277BAECFE}" name="Table4" displayName="Table4" ref="J5:J15" totalsRowShown="0">
  <autoFilter ref="J5:J15" xr:uid="{5F2DB66C-AD3F-46B6-B4BC-A47277BAECFE}"/>
  <tableColumns count="1">
    <tableColumn id="1" xr3:uid="{0B46B257-476F-4ADE-87C6-B42A1DAC89A9}" name="Sampl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7B4448-0E4C-4205-A7AB-764B5A4CB25D}" name="Table6" displayName="Table6" ref="A1:B24" totalsRowShown="0">
  <autoFilter ref="A1:B24" xr:uid="{087B4448-0E4C-4205-A7AB-764B5A4CB25D}"/>
  <tableColumns count="2">
    <tableColumn id="1" xr3:uid="{5CD7E180-E68A-4FE0-A919-5803C9111746}" name="New Supplier"/>
    <tableColumn id="2" xr3:uid="{13EBE2E4-83A0-4BB1-9B53-2B697880B77E}" name="Old Supplier"/>
  </tableColumns>
  <tableStyleInfo name="TableStyleLight21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Ion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" dT="2023-11-23T09:58:26.75" personId="{47502BCA-1E6F-4883-A80F-9C426296F429}" id="{DDFCBDE7-EE70-449A-AD24-690AEBAF7D18}">
    <text>Weibull distribution is to model lifetime and strength of material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E5D5884B-CDAE-45B8-A876-859F3C6D388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d2_vxscK0cw_fkC1QQTsn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82650E46-D201-4554-8FEE-D19E7A3617C2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0395-E731-45F2-92E4-533B418A958E}">
  <sheetPr>
    <pageSetUpPr autoPageBreaks="0"/>
  </sheetPr>
  <dimension ref="A2:N57"/>
  <sheetViews>
    <sheetView tabSelected="1" topLeftCell="A36" zoomScale="130" zoomScaleNormal="130" workbookViewId="0">
      <selection activeCell="D5" sqref="D5"/>
    </sheetView>
  </sheetViews>
  <sheetFormatPr defaultRowHeight="14.25" x14ac:dyDescent="0.15"/>
  <cols>
    <col min="3" max="3" width="30.625" bestFit="1" customWidth="1"/>
    <col min="4" max="4" width="14.375" customWidth="1"/>
    <col min="5" max="5" width="89.75" bestFit="1" customWidth="1"/>
    <col min="7" max="7" width="27.25" bestFit="1" customWidth="1"/>
    <col min="9" max="9" width="15.75" bestFit="1" customWidth="1"/>
    <col min="10" max="10" width="9.875" bestFit="1" customWidth="1"/>
    <col min="11" max="11" width="7.625" bestFit="1" customWidth="1"/>
  </cols>
  <sheetData>
    <row r="2" spans="1:14" ht="18.75" x14ac:dyDescent="0.3">
      <c r="A2" t="s">
        <v>9</v>
      </c>
      <c r="C2" s="42" t="s">
        <v>25</v>
      </c>
      <c r="D2" s="42"/>
      <c r="E2" s="42"/>
      <c r="H2">
        <f>_xlfn.NORM.S.INV((1-0.9)/2)</f>
        <v>-1.6448536269514726</v>
      </c>
    </row>
    <row r="3" spans="1:14" x14ac:dyDescent="0.15">
      <c r="A3">
        <v>1.01</v>
      </c>
      <c r="C3" s="2" t="s">
        <v>0</v>
      </c>
      <c r="D3" s="2">
        <v>0.9</v>
      </c>
    </row>
    <row r="4" spans="1:14" x14ac:dyDescent="0.15">
      <c r="A4">
        <v>0.97</v>
      </c>
      <c r="C4" s="2" t="s">
        <v>1</v>
      </c>
      <c r="D4" s="2">
        <v>0.9</v>
      </c>
    </row>
    <row r="5" spans="1:14" ht="15" thickBot="1" x14ac:dyDescent="0.2">
      <c r="A5">
        <v>1.03</v>
      </c>
      <c r="J5" t="s">
        <v>9</v>
      </c>
    </row>
    <row r="6" spans="1:14" x14ac:dyDescent="0.15">
      <c r="A6">
        <v>1.04</v>
      </c>
      <c r="C6" s="5" t="s">
        <v>2</v>
      </c>
      <c r="D6" s="6">
        <f>COUNT(A3:A11)</f>
        <v>9</v>
      </c>
      <c r="E6" s="7" t="str">
        <f ca="1">_xlfn.FORMULATEXT(D6)</f>
        <v>=COUNT(A3:A11)</v>
      </c>
      <c r="J6">
        <v>46.4</v>
      </c>
      <c r="L6">
        <f>_xlfn.CHISQ.INV(0.025,9)</f>
        <v>2.7003894999803584</v>
      </c>
    </row>
    <row r="7" spans="1:14" x14ac:dyDescent="0.15">
      <c r="A7">
        <v>0.99</v>
      </c>
      <c r="C7" s="8" t="s">
        <v>3</v>
      </c>
      <c r="D7" s="4">
        <f>AVERAGE(A3:A11)</f>
        <v>1.0055555555555555</v>
      </c>
      <c r="E7" s="9" t="str">
        <f t="shared" ref="E7:E10" ca="1" si="0">_xlfn.FORMULATEXT(D7)</f>
        <v>=AVERAGE(A3:A11)</v>
      </c>
      <c r="J7">
        <v>46.1</v>
      </c>
    </row>
    <row r="8" spans="1:14" x14ac:dyDescent="0.15">
      <c r="A8">
        <v>0.98</v>
      </c>
      <c r="C8" s="8" t="s">
        <v>4</v>
      </c>
      <c r="D8" s="4">
        <f>_xlfn.STDEV.S(A3:A11)</f>
        <v>2.4551533104427082E-2</v>
      </c>
      <c r="E8" s="9" t="str">
        <f t="shared" ca="1" si="0"/>
        <v>=STDEV.S(A3:A11)</v>
      </c>
      <c r="J8">
        <v>45.8</v>
      </c>
      <c r="L8">
        <f>_xlfn.STDEV.S(Table4[Sample])</f>
        <v>0.53499740393970308</v>
      </c>
    </row>
    <row r="9" spans="1:14" x14ac:dyDescent="0.15">
      <c r="A9">
        <v>0.99</v>
      </c>
      <c r="C9" s="8" t="s">
        <v>5</v>
      </c>
      <c r="D9" s="4">
        <f>ABS(_xlfn.NORM.S.INV((1-D4)/2))</f>
        <v>1.6448536269514726</v>
      </c>
      <c r="E9" s="9" t="str">
        <f t="shared" ca="1" si="0"/>
        <v>=ABS(NORM.S.INV((1-D4)/2))</v>
      </c>
      <c r="J9">
        <v>47</v>
      </c>
      <c r="L9">
        <f>_xlfn.VAR.S(Table4[Sample])</f>
        <v>0.28622222222222177</v>
      </c>
    </row>
    <row r="10" spans="1:14" ht="15" thickBot="1" x14ac:dyDescent="0.2">
      <c r="A10">
        <v>1.01</v>
      </c>
      <c r="C10" s="10" t="s">
        <v>6</v>
      </c>
      <c r="D10" s="11">
        <f>_xlfn.CHISQ.INV((1-D3),D6-1)</f>
        <v>3.4895391256498227</v>
      </c>
      <c r="E10" s="12" t="str">
        <f t="shared" ca="1" si="0"/>
        <v>=CHISQ.INV((1-D3),D6-1)</v>
      </c>
      <c r="J10">
        <v>46.1</v>
      </c>
    </row>
    <row r="11" spans="1:14" ht="15" thickBot="1" x14ac:dyDescent="0.2">
      <c r="A11">
        <v>1.03</v>
      </c>
      <c r="C11" s="13"/>
      <c r="D11" s="14"/>
      <c r="E11" s="15"/>
      <c r="J11">
        <v>45.9</v>
      </c>
      <c r="L11">
        <f>_xlfn.F.INV(0.99,14,11)</f>
        <v>4.2932431076289221</v>
      </c>
    </row>
    <row r="12" spans="1:14" ht="15" thickBot="1" x14ac:dyDescent="0.2">
      <c r="C12" s="5" t="s">
        <v>7</v>
      </c>
      <c r="D12" s="6">
        <f>$D$7-($D$9*$D$8*SQRT((($D$6-1)*(1+1/$D$6))/$D$10))</f>
        <v>0.94110219352395608</v>
      </c>
      <c r="E12" s="7" t="str">
        <f ca="1">_xlfn.FORMULATEXT(D12)</f>
        <v>=$D$7-($D$9*$D$8*SQRT((($D$6-1)*(1+1/$D$6))/$D$10))</v>
      </c>
      <c r="J12">
        <v>45.8</v>
      </c>
    </row>
    <row r="13" spans="1:14" ht="15" thickBot="1" x14ac:dyDescent="0.2">
      <c r="C13" s="10" t="s">
        <v>8</v>
      </c>
      <c r="D13" s="6">
        <f>$D$7+($D$9*$D$8*SQRT((($D$6-1)*(1+1/$D$6))/$D$10))</f>
        <v>1.070008917587155</v>
      </c>
      <c r="E13" s="12" t="str">
        <f ca="1">_xlfn.FORMULATEXT(D13)</f>
        <v>=$D$7+($D$9*$D$8*SQRT((($D$6-1)*(1+1/$D$6))/$D$10))</v>
      </c>
      <c r="J13">
        <v>46.9</v>
      </c>
      <c r="L13">
        <f>_xlfn.F.INV.RT(0.01,14,11)</f>
        <v>4.293243107628923</v>
      </c>
      <c r="N13">
        <f>_xlfn.F.INV(0.01,14,12)</f>
        <v>0.26314814181985358</v>
      </c>
    </row>
    <row r="14" spans="1:14" x14ac:dyDescent="0.15">
      <c r="J14">
        <v>45.2</v>
      </c>
      <c r="L14">
        <f>_xlfn.F.INV.RT(0.99,14,11)</f>
        <v>0.25879656206545393</v>
      </c>
    </row>
    <row r="15" spans="1:14" ht="21" x14ac:dyDescent="0.35">
      <c r="C15" s="41" t="s">
        <v>26</v>
      </c>
      <c r="D15" s="41"/>
      <c r="E15" s="41"/>
      <c r="J15">
        <v>46</v>
      </c>
    </row>
    <row r="16" spans="1:14" x14ac:dyDescent="0.15">
      <c r="C16" s="17" t="s">
        <v>0</v>
      </c>
      <c r="D16" s="18">
        <v>0.96</v>
      </c>
      <c r="E16" s="19"/>
    </row>
    <row r="17" spans="1:5" ht="19.5" x14ac:dyDescent="0.25">
      <c r="C17" s="23" t="s">
        <v>10</v>
      </c>
      <c r="D17" s="23">
        <f>ABS(_xlfn.NORM.S.INV((1-D16)/2))</f>
        <v>2.0537489106318221</v>
      </c>
      <c r="E17" s="23"/>
    </row>
    <row r="18" spans="1:5" ht="18.75" x14ac:dyDescent="0.3">
      <c r="C18" s="16" t="s">
        <v>13</v>
      </c>
      <c r="D18" s="3">
        <v>8</v>
      </c>
      <c r="E18" s="1"/>
    </row>
    <row r="19" spans="1:5" ht="18.75" x14ac:dyDescent="0.3">
      <c r="C19" s="16" t="s">
        <v>14</v>
      </c>
      <c r="D19" s="3">
        <v>6</v>
      </c>
      <c r="E19" s="1"/>
    </row>
    <row r="20" spans="1:5" ht="18.75" x14ac:dyDescent="0.3">
      <c r="C20" s="16" t="s">
        <v>15</v>
      </c>
      <c r="D20" s="3">
        <v>75</v>
      </c>
      <c r="E20" s="1"/>
    </row>
    <row r="21" spans="1:5" ht="18.75" x14ac:dyDescent="0.3">
      <c r="C21" s="16" t="s">
        <v>16</v>
      </c>
      <c r="D21" s="3">
        <v>50</v>
      </c>
      <c r="E21" s="1"/>
    </row>
    <row r="22" spans="1:5" ht="18.75" x14ac:dyDescent="0.3">
      <c r="C22" s="16" t="s">
        <v>17</v>
      </c>
      <c r="D22" s="3">
        <v>42</v>
      </c>
      <c r="E22" s="1"/>
    </row>
    <row r="23" spans="1:5" ht="18.75" x14ac:dyDescent="0.3">
      <c r="C23" s="16" t="s">
        <v>18</v>
      </c>
      <c r="D23" s="3">
        <v>36</v>
      </c>
      <c r="E23" s="1"/>
    </row>
    <row r="24" spans="1:5" x14ac:dyDescent="0.15">
      <c r="C24" s="17" t="s">
        <v>11</v>
      </c>
      <c r="D24" s="18">
        <f>($D$22-$D$23)-$D$17*SQRT(($D$18^2/$D$20+$D$19^2/$D$21))</f>
        <v>3.4239296557877807</v>
      </c>
      <c r="E24" s="19" t="str">
        <f ca="1">_xlfn.FORMULATEXT(D24)</f>
        <v>=($D$22-$D$23)-$D$17*SQRT(($D$18^2/$D$20+$D$19^2/$D$21))</v>
      </c>
    </row>
    <row r="25" spans="1:5" x14ac:dyDescent="0.15">
      <c r="C25" s="20" t="s">
        <v>12</v>
      </c>
      <c r="D25" s="21">
        <f>($D$22-$D$23)+$D$17*SQRT(($D$18^2/$D$20+$D$19^2/$D$21))</f>
        <v>8.5760703442122193</v>
      </c>
      <c r="E25" s="22" t="str">
        <f ca="1">_xlfn.FORMULATEXT(D25)</f>
        <v>=($D$22-$D$23)+$D$17*SQRT(($D$18^2/$D$20+$D$19^2/$D$21))</v>
      </c>
    </row>
    <row r="28" spans="1:5" ht="21" x14ac:dyDescent="0.35">
      <c r="C28" s="41" t="s">
        <v>27</v>
      </c>
      <c r="D28" s="41"/>
      <c r="E28" s="41"/>
    </row>
    <row r="29" spans="1:5" ht="18.75" x14ac:dyDescent="0.3">
      <c r="A29" t="s">
        <v>22</v>
      </c>
      <c r="C29" s="17" t="s">
        <v>0</v>
      </c>
      <c r="D29" s="18">
        <v>0.9</v>
      </c>
      <c r="E29" s="19"/>
    </row>
    <row r="30" spans="1:5" ht="24" x14ac:dyDescent="0.45">
      <c r="C30" s="23" t="s">
        <v>23</v>
      </c>
      <c r="D30" s="23">
        <f>_xlfn.T.INV.2T(1-$D$29,($D$33+$D$34-2))</f>
        <v>1.7247182429207881</v>
      </c>
      <c r="E30" s="1" t="str">
        <f ca="1">_xlfn.FORMULATEXT(D30)</f>
        <v>=T.INV.2T(1-$D$29,($D$33+$D$34-2))</v>
      </c>
    </row>
    <row r="31" spans="1:5" ht="18.75" x14ac:dyDescent="0.3">
      <c r="C31" s="16" t="s">
        <v>19</v>
      </c>
      <c r="D31" s="3">
        <v>0.77100000000000002</v>
      </c>
      <c r="E31" s="1"/>
    </row>
    <row r="32" spans="1:5" ht="18.75" x14ac:dyDescent="0.3">
      <c r="C32" s="16" t="s">
        <v>20</v>
      </c>
      <c r="D32" s="3">
        <v>0.44800000000000001</v>
      </c>
      <c r="E32" s="1"/>
    </row>
    <row r="33" spans="3:11" ht="18.75" x14ac:dyDescent="0.3">
      <c r="C33" s="16" t="s">
        <v>15</v>
      </c>
      <c r="D33" s="3">
        <v>12</v>
      </c>
      <c r="E33" s="1"/>
    </row>
    <row r="34" spans="3:11" ht="18.75" x14ac:dyDescent="0.3">
      <c r="C34" s="16" t="s">
        <v>16</v>
      </c>
      <c r="D34" s="3">
        <v>10</v>
      </c>
      <c r="E34" s="1"/>
    </row>
    <row r="35" spans="3:11" ht="18.75" x14ac:dyDescent="0.3">
      <c r="C35" s="16" t="s">
        <v>21</v>
      </c>
      <c r="D35" s="3">
        <f>(($D$33-1)*$D$31^2+($D$34-1)*$D$32^2)/($D$33+$D$34-2)</f>
        <v>0.41725935000000003</v>
      </c>
      <c r="E35" s="1" t="str">
        <f ca="1">_xlfn.FORMULATEXT(D35)</f>
        <v>=(($D$33-1)*$D$31^2+($D$34-1)*$D$32^2)/($D$33+$D$34-2)</v>
      </c>
    </row>
    <row r="36" spans="3:11" ht="18.75" x14ac:dyDescent="0.3">
      <c r="C36" s="16" t="s">
        <v>17</v>
      </c>
      <c r="D36" s="3">
        <v>3.11</v>
      </c>
      <c r="E36" s="1"/>
    </row>
    <row r="37" spans="3:11" ht="18.75" x14ac:dyDescent="0.3">
      <c r="C37" s="16" t="s">
        <v>18</v>
      </c>
      <c r="D37" s="3">
        <v>2.04</v>
      </c>
      <c r="E37" s="1"/>
    </row>
    <row r="38" spans="3:11" x14ac:dyDescent="0.15">
      <c r="C38" s="17" t="s">
        <v>11</v>
      </c>
      <c r="D38" s="18">
        <f>($D$36-$D$37)-$D$30*SQRT($D$35)*SQRT(1/$D$33+1/$D$34)</f>
        <v>0.59297415112024243</v>
      </c>
      <c r="E38" s="19" t="str">
        <f ca="1">_xlfn.FORMULATEXT(D38)</f>
        <v>=($D$36-$D$37)-$D$30*SQRT($D$35)*SQRT(1/$D$33+1/$D$34)</v>
      </c>
    </row>
    <row r="39" spans="3:11" x14ac:dyDescent="0.15">
      <c r="C39" s="20" t="s">
        <v>12</v>
      </c>
      <c r="D39" s="21">
        <f>($D$36-$D$37)+$D$30*SQRT($D$35)*SQRT(1/$D$33+1/$D$34)</f>
        <v>1.5470258488797572</v>
      </c>
      <c r="E39" s="22" t="str">
        <f ca="1">_xlfn.FORMULATEXT(D39)</f>
        <v>=($D$36-$D$37)+$D$30*SQRT($D$35)*SQRT(1/$D$33+1/$D$34)</v>
      </c>
    </row>
    <row r="41" spans="3:11" ht="20.25" x14ac:dyDescent="0.3">
      <c r="C41" s="24" t="str">
        <f>_xlfn.CONCAT("Confidence Interval @",D29)</f>
        <v>Confidence Interval @0.9</v>
      </c>
      <c r="D41" s="24">
        <f>D38</f>
        <v>0.59297415112024243</v>
      </c>
      <c r="E41" s="24" t="str">
        <f>_xlfn.CONCAT("&lt;=",A29,"&lt;=",D39)</f>
        <v>&lt;=µ1-µ2&lt;=1.54702584887976</v>
      </c>
    </row>
    <row r="44" spans="3:11" ht="21" x14ac:dyDescent="0.35">
      <c r="C44" s="41" t="s">
        <v>28</v>
      </c>
      <c r="D44" s="41"/>
      <c r="E44" s="41"/>
    </row>
    <row r="45" spans="3:11" x14ac:dyDescent="0.15">
      <c r="C45" s="17" t="s">
        <v>0</v>
      </c>
      <c r="D45" s="18">
        <v>0.95</v>
      </c>
      <c r="E45" s="19"/>
      <c r="G45" t="s">
        <v>39</v>
      </c>
      <c r="I45" t="s">
        <v>40</v>
      </c>
      <c r="J45" t="s">
        <v>41</v>
      </c>
      <c r="K45" t="s">
        <v>42</v>
      </c>
    </row>
    <row r="46" spans="3:11" ht="18.75" x14ac:dyDescent="0.3">
      <c r="C46" s="16" t="s">
        <v>19</v>
      </c>
      <c r="D46" s="3">
        <v>3.07</v>
      </c>
      <c r="E46" s="1"/>
      <c r="G46" t="s">
        <v>29</v>
      </c>
      <c r="I46" t="s">
        <v>43</v>
      </c>
      <c r="J46">
        <v>29.8</v>
      </c>
      <c r="K46">
        <v>43.3</v>
      </c>
    </row>
    <row r="47" spans="3:11" ht="18.75" x14ac:dyDescent="0.3">
      <c r="C47" s="16" t="s">
        <v>20</v>
      </c>
      <c r="D47" s="3">
        <v>0.8</v>
      </c>
      <c r="E47" s="1"/>
      <c r="G47" t="s">
        <v>30</v>
      </c>
      <c r="I47" t="s">
        <v>44</v>
      </c>
      <c r="J47">
        <v>27.9</v>
      </c>
      <c r="K47">
        <v>25.4</v>
      </c>
    </row>
    <row r="48" spans="3:11" ht="18.75" x14ac:dyDescent="0.3">
      <c r="C48" s="16" t="s">
        <v>15</v>
      </c>
      <c r="D48" s="3">
        <v>15</v>
      </c>
      <c r="E48" s="1"/>
      <c r="G48" t="s">
        <v>31</v>
      </c>
      <c r="I48" t="s">
        <v>45</v>
      </c>
      <c r="J48">
        <v>22.1</v>
      </c>
      <c r="K48">
        <v>24</v>
      </c>
    </row>
    <row r="49" spans="3:11" ht="18.75" x14ac:dyDescent="0.3">
      <c r="C49" s="16" t="s">
        <v>16</v>
      </c>
      <c r="D49" s="3">
        <v>12</v>
      </c>
      <c r="E49" s="1"/>
      <c r="G49" t="s">
        <v>32</v>
      </c>
      <c r="I49" t="s">
        <v>46</v>
      </c>
      <c r="J49">
        <v>44.5</v>
      </c>
      <c r="K49">
        <v>88.3</v>
      </c>
    </row>
    <row r="50" spans="3:11" ht="18.75" x14ac:dyDescent="0.3">
      <c r="C50" s="16" t="s">
        <v>17</v>
      </c>
      <c r="D50" s="3">
        <v>3.84</v>
      </c>
      <c r="E50" s="1"/>
      <c r="G50" t="s">
        <v>33</v>
      </c>
      <c r="I50" t="s">
        <v>47</v>
      </c>
      <c r="J50">
        <v>22.2</v>
      </c>
      <c r="K50">
        <v>18.100000000000001</v>
      </c>
    </row>
    <row r="51" spans="3:11" ht="18.75" x14ac:dyDescent="0.3">
      <c r="C51" s="16" t="s">
        <v>18</v>
      </c>
      <c r="D51" s="3">
        <v>1.49</v>
      </c>
      <c r="E51" s="1"/>
      <c r="G51" t="s">
        <v>34</v>
      </c>
      <c r="I51" t="s">
        <v>48</v>
      </c>
      <c r="J51">
        <v>43.8</v>
      </c>
      <c r="K51">
        <v>131.19999999999999</v>
      </c>
    </row>
    <row r="52" spans="3:11" ht="24" x14ac:dyDescent="0.45">
      <c r="C52" s="23" t="s">
        <v>23</v>
      </c>
      <c r="D52" s="23">
        <f>_xlfn.T.INV.2T(1-$D$45,$D$53)</f>
        <v>2.119905299221255</v>
      </c>
      <c r="E52" s="1" t="str">
        <f ca="1">_xlfn.FORMULATEXT(D52)</f>
        <v>=T.INV.2T(1-$D$45,$D$53)</v>
      </c>
      <c r="G52" t="s">
        <v>35</v>
      </c>
      <c r="I52" t="s">
        <v>49</v>
      </c>
      <c r="J52">
        <v>21.7</v>
      </c>
      <c r="K52">
        <v>34</v>
      </c>
    </row>
    <row r="53" spans="3:11" x14ac:dyDescent="0.15">
      <c r="C53" s="16" t="s">
        <v>24</v>
      </c>
      <c r="D53" s="3">
        <f>ROUNDDOWN((D46^2/D48+D47^2/D49)^2/(((D46^2/D48)^2/(D48-1))+(D47^2/D49)^2/(D49-1)),0)</f>
        <v>16</v>
      </c>
      <c r="E53" s="1" t="str">
        <f ca="1">_xlfn.FORMULATEXT(D53)</f>
        <v>=ROUNDDOWN((D46^2/D48+D47^2/D49)^2/(((D46^2/D48)^2/(D48-1))+(D47^2/D49)^2/(D49-1)),0)</v>
      </c>
      <c r="G53" t="s">
        <v>36</v>
      </c>
      <c r="I53" t="s">
        <v>50</v>
      </c>
      <c r="J53">
        <v>21.9</v>
      </c>
      <c r="K53">
        <v>32.1</v>
      </c>
    </row>
    <row r="54" spans="3:11" x14ac:dyDescent="0.15">
      <c r="C54" s="17" t="s">
        <v>11</v>
      </c>
      <c r="D54" s="18">
        <f>($D$50-$D$51)-$D$52*SQRT(($D$46^2/$D$48+$D$47^2/$D$49))</f>
        <v>0.59974887450798908</v>
      </c>
      <c r="E54" s="19" t="str">
        <f ca="1">_xlfn.FORMULATEXT(D54)</f>
        <v>=($D$50-$D$51)-$D$52*SQRT(($D$46^2/$D$48+$D$47^2/$D$49))</v>
      </c>
      <c r="G54" t="s">
        <v>37</v>
      </c>
      <c r="I54" t="s">
        <v>51</v>
      </c>
      <c r="J54">
        <v>28.3</v>
      </c>
      <c r="K54">
        <v>6.2</v>
      </c>
    </row>
    <row r="55" spans="3:11" x14ac:dyDescent="0.15">
      <c r="C55" s="20" t="s">
        <v>12</v>
      </c>
      <c r="D55" s="21">
        <f>($D$50-$D$51)+$D$52*SQRT(($D$46^2/$D$48+$D$47^2/$D$49))</f>
        <v>4.1002511254920098</v>
      </c>
      <c r="E55" s="22" t="str">
        <f ca="1">_xlfn.FORMULATEXT(D55)</f>
        <v>=($D$50-$D$51)+$D$52*SQRT(($D$46^2/$D$48+$D$47^2/$D$49))</v>
      </c>
      <c r="G55" t="s">
        <v>38</v>
      </c>
      <c r="I55" t="s">
        <v>52</v>
      </c>
      <c r="J55">
        <v>11.8</v>
      </c>
      <c r="K55">
        <v>20.3</v>
      </c>
    </row>
    <row r="57" spans="3:11" ht="20.25" x14ac:dyDescent="0.3">
      <c r="C57" s="24" t="str">
        <f>_xlfn.CONCAT("Confidence Interval @",D45)</f>
        <v>Confidence Interval @0.95</v>
      </c>
      <c r="D57" s="24">
        <f>D54</f>
        <v>0.59974887450798908</v>
      </c>
      <c r="E57" s="24" t="str">
        <f>_xlfn.CONCAT("&lt;=",A29,"&lt;=",D55)</f>
        <v>&lt;=µ1-µ2&lt;=4.10025112549201</v>
      </c>
    </row>
  </sheetData>
  <mergeCells count="4">
    <mergeCell ref="C15:E15"/>
    <mergeCell ref="C28:E28"/>
    <mergeCell ref="C44:E44"/>
    <mergeCell ref="C2:E2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CDA0-F57A-4CEB-9434-5B71752C49C0}">
  <dimension ref="A1:J24"/>
  <sheetViews>
    <sheetView zoomScale="130" zoomScaleNormal="130" workbookViewId="0">
      <selection activeCell="J17" sqref="J17"/>
    </sheetView>
  </sheetViews>
  <sheetFormatPr defaultRowHeight="14.25" x14ac:dyDescent="0.15"/>
  <cols>
    <col min="1" max="1" width="14" customWidth="1"/>
    <col min="2" max="2" width="13.25" customWidth="1"/>
    <col min="8" max="8" width="20.5" bestFit="1" customWidth="1"/>
    <col min="10" max="10" width="27.125" customWidth="1"/>
  </cols>
  <sheetData>
    <row r="1" spans="1:10" ht="20.25" x14ac:dyDescent="0.35">
      <c r="A1" t="s">
        <v>53</v>
      </c>
      <c r="B1" t="s">
        <v>54</v>
      </c>
      <c r="H1" s="43" t="s">
        <v>61</v>
      </c>
      <c r="I1" s="43"/>
      <c r="J1" s="43"/>
    </row>
    <row r="2" spans="1:10" x14ac:dyDescent="0.15">
      <c r="A2">
        <v>530.29999999999995</v>
      </c>
      <c r="B2">
        <v>559.70000000000005</v>
      </c>
    </row>
    <row r="3" spans="1:10" ht="18.75" x14ac:dyDescent="0.3">
      <c r="A3">
        <v>549.9</v>
      </c>
      <c r="B3">
        <v>550.70000000000005</v>
      </c>
      <c r="H3" s="26" t="s">
        <v>58</v>
      </c>
      <c r="I3" s="28">
        <f>COUNT(Table6[New Supplier])</f>
        <v>23</v>
      </c>
      <c r="J3" s="26" t="str">
        <f ca="1">_xlfn.FORMULATEXT(I3)</f>
        <v>=COUNT(Table6[New Supplier])</v>
      </c>
    </row>
    <row r="4" spans="1:10" ht="18.75" x14ac:dyDescent="0.3">
      <c r="A4">
        <v>559.1</v>
      </c>
      <c r="B4">
        <v>554.5</v>
      </c>
      <c r="H4" s="26" t="s">
        <v>59</v>
      </c>
      <c r="I4" s="28">
        <f>COUNT(Table6[Old Supplier])</f>
        <v>23</v>
      </c>
      <c r="J4" s="26" t="str">
        <f t="shared" ref="J4:J12" ca="1" si="0">_xlfn.FORMULATEXT(I4)</f>
        <v>=COUNT(Table6[Old Supplier])</v>
      </c>
    </row>
    <row r="5" spans="1:10" ht="18.75" x14ac:dyDescent="0.3">
      <c r="A5">
        <v>550</v>
      </c>
      <c r="B5">
        <v>555</v>
      </c>
      <c r="H5" s="26" t="s">
        <v>64</v>
      </c>
      <c r="I5" s="28">
        <f>_xlfn.VAR.S(Table6[New Supplier])</f>
        <v>105.92711462450588</v>
      </c>
      <c r="J5" s="26" t="str">
        <f t="shared" ca="1" si="0"/>
        <v>=VAR.S(Table6[New Supplier])</v>
      </c>
    </row>
    <row r="6" spans="1:10" ht="18.75" x14ac:dyDescent="0.3">
      <c r="A6">
        <v>559.29999999999995</v>
      </c>
      <c r="B6">
        <v>534.70000000000005</v>
      </c>
      <c r="H6" s="26" t="s">
        <v>65</v>
      </c>
      <c r="I6" s="28">
        <f>_xlfn.VAR.S(Table6[Old Supplier])</f>
        <v>77.413833992094837</v>
      </c>
      <c r="J6" s="26" t="str">
        <f t="shared" ca="1" si="0"/>
        <v>=VAR.S(Table6[Old Supplier])</v>
      </c>
    </row>
    <row r="7" spans="1:10" x14ac:dyDescent="0.15">
      <c r="A7">
        <v>556.9</v>
      </c>
      <c r="B7">
        <v>563.1</v>
      </c>
      <c r="H7" s="25" t="s">
        <v>57</v>
      </c>
      <c r="I7">
        <v>0.95</v>
      </c>
    </row>
    <row r="8" spans="1:10" ht="18.75" x14ac:dyDescent="0.3">
      <c r="A8">
        <v>555</v>
      </c>
      <c r="B8">
        <v>553</v>
      </c>
      <c r="H8" s="16" t="s">
        <v>55</v>
      </c>
      <c r="I8" s="29">
        <f>_xlfn.F.INV.RT((1-I7)/2,I3-1,I4-1)</f>
        <v>2.3578812497536403</v>
      </c>
      <c r="J8" s="16" t="str">
        <f t="shared" ca="1" si="0"/>
        <v>=F.INV.RT((1-I7)/2,I3-1,I4-1)</v>
      </c>
    </row>
    <row r="9" spans="1:10" ht="18.75" x14ac:dyDescent="0.3">
      <c r="A9">
        <v>554.9</v>
      </c>
      <c r="B9">
        <v>544.79999999999995</v>
      </c>
      <c r="H9" s="16" t="s">
        <v>56</v>
      </c>
      <c r="I9" s="29">
        <f>_xlfn.F.INV((1-I7)/2,I3-1,I4-1)</f>
        <v>0.42410956875138794</v>
      </c>
      <c r="J9" s="16" t="str">
        <f t="shared" ca="1" si="0"/>
        <v>=F.INV((1-I7)/2,I3-1,I4-1)</v>
      </c>
    </row>
    <row r="10" spans="1:10" x14ac:dyDescent="0.15">
      <c r="A10">
        <v>549.4</v>
      </c>
      <c r="B10">
        <v>554.79999999999995</v>
      </c>
    </row>
    <row r="11" spans="1:10" x14ac:dyDescent="0.15">
      <c r="A11">
        <v>536.70000000000005</v>
      </c>
      <c r="B11">
        <v>551.1</v>
      </c>
      <c r="H11" s="27" t="s">
        <v>62</v>
      </c>
      <c r="I11" s="30">
        <f>I5/(I6*I8)</f>
        <v>0.58031879556650734</v>
      </c>
      <c r="J11" s="27" t="str">
        <f t="shared" ca="1" si="0"/>
        <v>=I5/(I6*I8)</v>
      </c>
    </row>
    <row r="12" spans="1:10" x14ac:dyDescent="0.15">
      <c r="A12">
        <v>538.6</v>
      </c>
      <c r="B12">
        <v>538.4</v>
      </c>
      <c r="H12" s="27" t="s">
        <v>63</v>
      </c>
      <c r="I12" s="30">
        <f>I5/(I6*I9)</f>
        <v>3.2263426901079693</v>
      </c>
      <c r="J12" s="27" t="str">
        <f t="shared" ca="1" si="0"/>
        <v>=I5/(I6*I9)</v>
      </c>
    </row>
    <row r="13" spans="1:10" ht="15" thickBot="1" x14ac:dyDescent="0.2">
      <c r="A13">
        <v>554.70000000000005</v>
      </c>
      <c r="B13">
        <v>558.4</v>
      </c>
    </row>
    <row r="14" spans="1:10" ht="19.5" thickBot="1" x14ac:dyDescent="0.35">
      <c r="A14">
        <v>544</v>
      </c>
      <c r="B14">
        <v>545</v>
      </c>
      <c r="H14" s="31" t="str">
        <f>_xlfn.CONCAT(ROUND(SQRT(I11),4),"&lt;=")</f>
        <v>0.7618&lt;=</v>
      </c>
      <c r="I14" s="32" t="s">
        <v>60</v>
      </c>
      <c r="J14" s="33" t="str">
        <f>_xlfn.CONCAT("&lt;=",ROUND(SQRT(I12),4))</f>
        <v>&lt;=1.7962</v>
      </c>
    </row>
    <row r="15" spans="1:10" x14ac:dyDescent="0.15">
      <c r="A15">
        <v>558.79999999999995</v>
      </c>
      <c r="B15">
        <v>553.79999999999995</v>
      </c>
    </row>
    <row r="16" spans="1:10" x14ac:dyDescent="0.15">
      <c r="A16">
        <v>551.1</v>
      </c>
      <c r="B16">
        <v>548.29999999999995</v>
      </c>
    </row>
    <row r="17" spans="1:2" x14ac:dyDescent="0.15">
      <c r="A17">
        <v>536.1</v>
      </c>
      <c r="B17">
        <v>548.70000000000005</v>
      </c>
    </row>
    <row r="18" spans="1:2" x14ac:dyDescent="0.15">
      <c r="A18">
        <v>551.70000000000005</v>
      </c>
      <c r="B18">
        <v>544.6</v>
      </c>
    </row>
    <row r="19" spans="1:2" x14ac:dyDescent="0.15">
      <c r="A19">
        <v>538.79999999999995</v>
      </c>
      <c r="B19">
        <v>538.79999999999995</v>
      </c>
    </row>
    <row r="20" spans="1:2" x14ac:dyDescent="0.15">
      <c r="A20">
        <v>565.4</v>
      </c>
      <c r="B20">
        <v>552.9</v>
      </c>
    </row>
    <row r="21" spans="1:2" x14ac:dyDescent="0.15">
      <c r="A21">
        <v>569.1</v>
      </c>
      <c r="B21">
        <v>560.29999999999995</v>
      </c>
    </row>
    <row r="22" spans="1:2" x14ac:dyDescent="0.15">
      <c r="A22">
        <v>566.29999999999995</v>
      </c>
      <c r="B22">
        <v>538</v>
      </c>
    </row>
    <row r="23" spans="1:2" x14ac:dyDescent="0.15">
      <c r="A23">
        <v>543.29999999999995</v>
      </c>
      <c r="B23">
        <v>564.6</v>
      </c>
    </row>
    <row r="24" spans="1:2" x14ac:dyDescent="0.15">
      <c r="A24">
        <v>554.9</v>
      </c>
      <c r="B24">
        <v>535.1</v>
      </c>
    </row>
  </sheetData>
  <mergeCells count="1">
    <mergeCell ref="H1:J1"/>
  </mergeCells>
  <phoneticPr fontId="1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4B7F-26C6-4442-9E1A-9DE2BE26C2F4}">
  <dimension ref="A1:AA124"/>
  <sheetViews>
    <sheetView zoomScale="130" zoomScaleNormal="130" workbookViewId="0">
      <selection activeCell="N23" sqref="J23:N23"/>
    </sheetView>
  </sheetViews>
  <sheetFormatPr defaultRowHeight="14.25" x14ac:dyDescent="0.15"/>
  <cols>
    <col min="1" max="1" width="10.25" bestFit="1" customWidth="1"/>
    <col min="3" max="3" width="12.125" bestFit="1" customWidth="1"/>
    <col min="4" max="4" width="9.625" bestFit="1" customWidth="1"/>
    <col min="5" max="5" width="11.25" bestFit="1" customWidth="1"/>
    <col min="6" max="6" width="13.375" bestFit="1" customWidth="1"/>
    <col min="17" max="17" width="12" bestFit="1" customWidth="1"/>
    <col min="18" max="18" width="12" customWidth="1"/>
    <col min="19" max="19" width="11" customWidth="1"/>
    <col min="24" max="24" width="6.625" bestFit="1" customWidth="1"/>
    <col min="26" max="26" width="12" bestFit="1" customWidth="1"/>
    <col min="27" max="27" width="13.375" bestFit="1" customWidth="1"/>
  </cols>
  <sheetData>
    <row r="1" spans="1:27" ht="26.25" customHeight="1" x14ac:dyDescent="0.2">
      <c r="A1" s="34" t="s">
        <v>77</v>
      </c>
      <c r="B1" s="34" t="s">
        <v>68</v>
      </c>
      <c r="C1" s="35" t="s">
        <v>67</v>
      </c>
      <c r="D1" s="34" t="s">
        <v>66</v>
      </c>
      <c r="O1" s="44" t="s">
        <v>72</v>
      </c>
      <c r="P1" s="44"/>
      <c r="Q1" s="44"/>
      <c r="R1" s="44"/>
      <c r="S1" s="44"/>
      <c r="X1" s="45"/>
      <c r="Y1" s="45"/>
      <c r="Z1" s="45"/>
      <c r="AA1" s="45"/>
    </row>
    <row r="2" spans="1:27" x14ac:dyDescent="0.15">
      <c r="A2">
        <v>30.86</v>
      </c>
      <c r="B2" cm="1">
        <f t="array" ref="B2:B18">_xlfn.RANK.AVG(A2:A18,A2:A18,1)</f>
        <v>1</v>
      </c>
      <c r="C2" cm="1">
        <f t="array" ref="C2:C18">ROUND((_xlfn.ANCHORARRAY(B2)-0.5)/COUNT(A2:A18),4)</f>
        <v>2.9399999999999999E-2</v>
      </c>
      <c r="D2" cm="1">
        <f t="array" ref="D2:D18">ROUND(_xlfn.NORM.S.INV(_xlfn.ANCHORARRAY(C2)),4)</f>
        <v>-1.8896999999999999</v>
      </c>
      <c r="O2" s="34" t="s">
        <v>69</v>
      </c>
      <c r="P2" s="34" t="s">
        <v>70</v>
      </c>
      <c r="Q2" s="34" t="s">
        <v>71</v>
      </c>
      <c r="R2" s="34" t="s">
        <v>73</v>
      </c>
      <c r="S2" s="34" t="s">
        <v>74</v>
      </c>
      <c r="X2" s="38" t="s">
        <v>69</v>
      </c>
      <c r="Y2" s="38" t="s">
        <v>75</v>
      </c>
      <c r="Z2" s="38" t="s">
        <v>71</v>
      </c>
      <c r="AA2" s="39" t="s">
        <v>76</v>
      </c>
    </row>
    <row r="3" spans="1:27" x14ac:dyDescent="0.15">
      <c r="A3">
        <v>37.68</v>
      </c>
      <c r="B3">
        <v>2</v>
      </c>
      <c r="C3">
        <v>8.8200000000000001E-2</v>
      </c>
      <c r="D3">
        <v>-1.3519000000000001</v>
      </c>
      <c r="O3">
        <v>282</v>
      </c>
      <c r="P3" cm="1">
        <f t="array" ref="P3:P12">_xlfn.RANK.EQ(O3:O12,O3:O12,1)</f>
        <v>1</v>
      </c>
      <c r="Q3" cm="1">
        <f t="array" ref="Q3:Q12">(_xlfn.ANCHORARRAY(P3)-0.5)/COUNT(O3:O12)</f>
        <v>0.05</v>
      </c>
      <c r="R3" cm="1">
        <f t="array" ref="R3:R12">ROUND(LN(O3:O12),4)</f>
        <v>5.6418999999999997</v>
      </c>
      <c r="S3" cm="1">
        <f t="array" ref="S3:S12">ROUND(LN(-LN(1-_xlfn.ANCHORARRAY(Q3))),4)</f>
        <v>-2.9702000000000002</v>
      </c>
      <c r="X3" s="37">
        <v>24.46</v>
      </c>
      <c r="Y3" cm="1">
        <f t="array" ref="Y3:Y22">_xlfn.RANK.AVG(X3:X22,X3:X22,1)</f>
        <v>1</v>
      </c>
      <c r="Z3" cm="1">
        <f t="array" ref="Z3:Z22">(_xlfn.ANCHORARRAY(Y3)-0.5)/COUNT(X3:X22)</f>
        <v>2.5000000000000001E-2</v>
      </c>
      <c r="AA3" s="36" cm="1">
        <f t="array" ref="AA3:AA22">ROUND(_xlfn.NORM.S.INV(_xlfn.ANCHORARRAY(Z3)),4)</f>
        <v>-1.96</v>
      </c>
    </row>
    <row r="4" spans="1:27" x14ac:dyDescent="0.15">
      <c r="A4">
        <v>39.04</v>
      </c>
      <c r="B4">
        <v>3</v>
      </c>
      <c r="C4">
        <v>0.14710000000000001</v>
      </c>
      <c r="D4">
        <v>-1.0489999999999999</v>
      </c>
      <c r="O4">
        <v>501</v>
      </c>
      <c r="P4">
        <v>2</v>
      </c>
      <c r="Q4">
        <v>0.15</v>
      </c>
      <c r="R4">
        <v>6.2165999999999997</v>
      </c>
      <c r="S4">
        <v>-1.8169999999999999</v>
      </c>
      <c r="X4" s="37">
        <v>25.61</v>
      </c>
      <c r="Y4">
        <v>2</v>
      </c>
      <c r="Z4">
        <v>7.4999999999999997E-2</v>
      </c>
      <c r="AA4" s="36">
        <v>-1.4395</v>
      </c>
    </row>
    <row r="5" spans="1:27" x14ac:dyDescent="0.15">
      <c r="A5">
        <v>42.78</v>
      </c>
      <c r="B5">
        <v>4</v>
      </c>
      <c r="C5">
        <v>0.2059</v>
      </c>
      <c r="D5">
        <v>-0.82069999999999999</v>
      </c>
      <c r="O5">
        <v>741</v>
      </c>
      <c r="P5">
        <v>3</v>
      </c>
      <c r="Q5">
        <v>0.25</v>
      </c>
      <c r="R5">
        <v>6.6079999999999997</v>
      </c>
      <c r="S5">
        <v>-1.2459</v>
      </c>
      <c r="X5" s="37">
        <v>26.25</v>
      </c>
      <c r="Y5">
        <v>3</v>
      </c>
      <c r="Z5">
        <v>0.125</v>
      </c>
      <c r="AA5" s="36">
        <v>-1.1503000000000001</v>
      </c>
    </row>
    <row r="6" spans="1:27" x14ac:dyDescent="0.15">
      <c r="A6">
        <v>42.89</v>
      </c>
      <c r="B6">
        <v>5.5</v>
      </c>
      <c r="C6">
        <v>0.29409999999999997</v>
      </c>
      <c r="D6">
        <v>-0.54139999999999999</v>
      </c>
      <c r="O6">
        <v>851</v>
      </c>
      <c r="P6">
        <v>4</v>
      </c>
      <c r="Q6">
        <v>0.35</v>
      </c>
      <c r="R6">
        <v>6.7464000000000004</v>
      </c>
      <c r="S6">
        <v>-0.84219999999999995</v>
      </c>
      <c r="X6" s="37">
        <v>26.42</v>
      </c>
      <c r="Y6">
        <v>4</v>
      </c>
      <c r="Z6">
        <v>0.17499999999999999</v>
      </c>
      <c r="AA6" s="36">
        <v>-0.93459999999999999</v>
      </c>
    </row>
    <row r="7" spans="1:27" x14ac:dyDescent="0.15">
      <c r="A7">
        <v>42.89</v>
      </c>
      <c r="B7">
        <v>5.5</v>
      </c>
      <c r="C7">
        <v>0.29409999999999997</v>
      </c>
      <c r="D7">
        <v>-0.54139999999999999</v>
      </c>
      <c r="O7">
        <v>1072</v>
      </c>
      <c r="P7">
        <v>5</v>
      </c>
      <c r="Q7">
        <v>0.45</v>
      </c>
      <c r="R7">
        <v>6.9772999999999996</v>
      </c>
      <c r="S7">
        <v>-0.51439999999999997</v>
      </c>
      <c r="X7" s="37">
        <v>26.66</v>
      </c>
      <c r="Y7">
        <v>5</v>
      </c>
      <c r="Z7">
        <v>0.22500000000000001</v>
      </c>
      <c r="AA7" s="36">
        <v>-0.75539999999999996</v>
      </c>
    </row>
    <row r="8" spans="1:27" x14ac:dyDescent="0.15">
      <c r="A8">
        <v>45.05</v>
      </c>
      <c r="B8">
        <v>7</v>
      </c>
      <c r="C8">
        <v>0.38240000000000002</v>
      </c>
      <c r="D8">
        <v>-0.29920000000000002</v>
      </c>
      <c r="O8">
        <v>1122</v>
      </c>
      <c r="P8">
        <v>6</v>
      </c>
      <c r="Q8">
        <v>0.55000000000000004</v>
      </c>
      <c r="R8">
        <v>7.0228999999999999</v>
      </c>
      <c r="S8">
        <v>-0.22500000000000001</v>
      </c>
      <c r="X8" s="37">
        <v>27.15</v>
      </c>
      <c r="Y8">
        <v>6</v>
      </c>
      <c r="Z8">
        <v>0.27500000000000002</v>
      </c>
      <c r="AA8" s="36">
        <v>-0.5978</v>
      </c>
    </row>
    <row r="9" spans="1:27" x14ac:dyDescent="0.15">
      <c r="A9">
        <v>47.08</v>
      </c>
      <c r="B9">
        <v>8.5</v>
      </c>
      <c r="C9">
        <v>0.47060000000000002</v>
      </c>
      <c r="D9">
        <v>-7.3800000000000004E-2</v>
      </c>
      <c r="O9">
        <v>1202</v>
      </c>
      <c r="P9">
        <v>7</v>
      </c>
      <c r="Q9">
        <v>0.65</v>
      </c>
      <c r="R9">
        <v>7.0917000000000003</v>
      </c>
      <c r="S9">
        <v>4.8599999999999997E-2</v>
      </c>
      <c r="X9" s="37">
        <v>27.31</v>
      </c>
      <c r="Y9">
        <v>7</v>
      </c>
      <c r="Z9">
        <v>0.32500000000000001</v>
      </c>
      <c r="AA9" s="36">
        <v>-0.45379999999999998</v>
      </c>
    </row>
    <row r="10" spans="1:27" x14ac:dyDescent="0.15">
      <c r="A10">
        <v>47.08</v>
      </c>
      <c r="B10">
        <v>8.5</v>
      </c>
      <c r="C10">
        <v>0.47060000000000002</v>
      </c>
      <c r="D10">
        <v>-7.3800000000000004E-2</v>
      </c>
      <c r="O10">
        <v>1585</v>
      </c>
      <c r="P10">
        <v>8</v>
      </c>
      <c r="Q10">
        <v>0.75</v>
      </c>
      <c r="R10">
        <v>7.3682999999999996</v>
      </c>
      <c r="S10">
        <v>0.3266</v>
      </c>
      <c r="X10" s="37">
        <v>27.54</v>
      </c>
      <c r="Y10">
        <v>8</v>
      </c>
      <c r="Z10">
        <v>0.375</v>
      </c>
      <c r="AA10" s="36">
        <v>-0.31859999999999999</v>
      </c>
    </row>
    <row r="11" spans="1:27" x14ac:dyDescent="0.15">
      <c r="A11">
        <v>48.79</v>
      </c>
      <c r="B11">
        <v>10.5</v>
      </c>
      <c r="C11">
        <v>0.58819999999999995</v>
      </c>
      <c r="D11">
        <v>0.22289999999999999</v>
      </c>
      <c r="O11">
        <v>1905</v>
      </c>
      <c r="P11">
        <v>9</v>
      </c>
      <c r="Q11">
        <v>0.85</v>
      </c>
      <c r="R11">
        <v>7.5522</v>
      </c>
      <c r="S11">
        <v>0.64029999999999998</v>
      </c>
      <c r="X11" s="37">
        <v>27.74</v>
      </c>
      <c r="Y11">
        <v>9</v>
      </c>
      <c r="Z11">
        <v>0.42499999999999999</v>
      </c>
      <c r="AA11" s="36">
        <v>-0.18909999999999999</v>
      </c>
    </row>
    <row r="12" spans="1:27" x14ac:dyDescent="0.15">
      <c r="A12">
        <v>48.79</v>
      </c>
      <c r="B12">
        <v>10.5</v>
      </c>
      <c r="C12">
        <v>0.58819999999999995</v>
      </c>
      <c r="D12">
        <v>0.22289999999999999</v>
      </c>
      <c r="O12">
        <v>2138</v>
      </c>
      <c r="P12">
        <v>10</v>
      </c>
      <c r="Q12">
        <v>0.95</v>
      </c>
      <c r="R12">
        <v>7.6676000000000002</v>
      </c>
      <c r="S12">
        <v>1.0972</v>
      </c>
      <c r="X12" s="37">
        <v>27.94</v>
      </c>
      <c r="Y12">
        <v>10</v>
      </c>
      <c r="Z12">
        <v>0.47499999999999998</v>
      </c>
      <c r="AA12" s="36">
        <v>-6.2700000000000006E-2</v>
      </c>
    </row>
    <row r="13" spans="1:27" x14ac:dyDescent="0.15">
      <c r="A13">
        <v>52.56</v>
      </c>
      <c r="B13">
        <v>12.5</v>
      </c>
      <c r="C13">
        <v>0.70589999999999997</v>
      </c>
      <c r="D13">
        <v>0.54139999999999999</v>
      </c>
      <c r="X13" s="37">
        <v>27.98</v>
      </c>
      <c r="Y13">
        <v>11</v>
      </c>
      <c r="Z13">
        <v>0.52500000000000002</v>
      </c>
      <c r="AA13" s="36">
        <v>6.2700000000000006E-2</v>
      </c>
    </row>
    <row r="14" spans="1:27" x14ac:dyDescent="0.15">
      <c r="A14">
        <v>52.56</v>
      </c>
      <c r="B14">
        <v>12.5</v>
      </c>
      <c r="C14">
        <v>0.70589999999999997</v>
      </c>
      <c r="D14">
        <v>0.54139999999999999</v>
      </c>
      <c r="X14" s="37">
        <v>28.04</v>
      </c>
      <c r="Y14">
        <v>12</v>
      </c>
      <c r="Z14">
        <v>0.57499999999999996</v>
      </c>
      <c r="AA14" s="36">
        <v>0.18909999999999999</v>
      </c>
    </row>
    <row r="15" spans="1:27" x14ac:dyDescent="0.15">
      <c r="A15">
        <v>54.8</v>
      </c>
      <c r="B15">
        <v>14</v>
      </c>
      <c r="C15">
        <v>0.79410000000000003</v>
      </c>
      <c r="D15">
        <v>0.82069999999999999</v>
      </c>
      <c r="X15" s="37">
        <v>28.28</v>
      </c>
      <c r="Y15">
        <v>13</v>
      </c>
      <c r="Z15">
        <v>0.625</v>
      </c>
      <c r="AA15" s="36">
        <v>0.31859999999999999</v>
      </c>
    </row>
    <row r="16" spans="1:27" x14ac:dyDescent="0.15">
      <c r="A16">
        <v>55.17</v>
      </c>
      <c r="B16">
        <v>15</v>
      </c>
      <c r="C16">
        <v>0.85289999999999999</v>
      </c>
      <c r="D16">
        <v>1.0489999999999999</v>
      </c>
      <c r="X16" s="37">
        <v>28.49</v>
      </c>
      <c r="Y16">
        <v>14</v>
      </c>
      <c r="Z16">
        <v>0.67500000000000004</v>
      </c>
      <c r="AA16" s="36">
        <v>0.45379999999999998</v>
      </c>
    </row>
    <row r="17" spans="1:27" x14ac:dyDescent="0.15">
      <c r="A17">
        <v>56.31</v>
      </c>
      <c r="B17">
        <v>16</v>
      </c>
      <c r="C17">
        <v>0.91180000000000005</v>
      </c>
      <c r="D17">
        <v>1.3519000000000001</v>
      </c>
      <c r="X17" s="37">
        <v>28.5</v>
      </c>
      <c r="Y17">
        <v>15</v>
      </c>
      <c r="Z17">
        <v>0.72499999999999998</v>
      </c>
      <c r="AA17" s="36">
        <v>0.5978</v>
      </c>
    </row>
    <row r="18" spans="1:27" x14ac:dyDescent="0.15">
      <c r="A18">
        <v>59.94</v>
      </c>
      <c r="B18">
        <v>17</v>
      </c>
      <c r="C18">
        <v>0.97060000000000002</v>
      </c>
      <c r="D18">
        <v>1.8896999999999999</v>
      </c>
      <c r="X18" s="37">
        <v>28.87</v>
      </c>
      <c r="Y18">
        <v>16</v>
      </c>
      <c r="Z18">
        <v>0.77500000000000002</v>
      </c>
      <c r="AA18" s="36">
        <v>0.75539999999999996</v>
      </c>
    </row>
    <row r="19" spans="1:27" x14ac:dyDescent="0.15">
      <c r="X19" s="37">
        <v>29.11</v>
      </c>
      <c r="Y19">
        <v>17</v>
      </c>
      <c r="Z19">
        <v>0.82499999999999996</v>
      </c>
      <c r="AA19" s="36">
        <v>0.93459999999999999</v>
      </c>
    </row>
    <row r="20" spans="1:27" x14ac:dyDescent="0.15">
      <c r="X20" s="37">
        <v>29.13</v>
      </c>
      <c r="Y20">
        <v>18</v>
      </c>
      <c r="Z20">
        <v>0.875</v>
      </c>
      <c r="AA20" s="36">
        <v>1.1503000000000001</v>
      </c>
    </row>
    <row r="21" spans="1:27" x14ac:dyDescent="0.15">
      <c r="X21" s="37">
        <v>29.5</v>
      </c>
      <c r="Y21">
        <v>19</v>
      </c>
      <c r="Z21">
        <v>0.92500000000000004</v>
      </c>
      <c r="AA21" s="36">
        <v>1.4395</v>
      </c>
    </row>
    <row r="22" spans="1:27" x14ac:dyDescent="0.15">
      <c r="X22" s="37">
        <v>30.88</v>
      </c>
      <c r="Y22">
        <v>20</v>
      </c>
      <c r="Z22">
        <v>0.97499999999999998</v>
      </c>
      <c r="AA22" s="36">
        <v>1.96</v>
      </c>
    </row>
    <row r="46" spans="1:6" x14ac:dyDescent="0.15">
      <c r="A46" s="38" t="s">
        <v>78</v>
      </c>
      <c r="B46" s="38" t="s">
        <v>68</v>
      </c>
      <c r="C46" s="38" t="s">
        <v>71</v>
      </c>
      <c r="D46" s="38" t="s">
        <v>79</v>
      </c>
      <c r="E46" s="38" t="s">
        <v>74</v>
      </c>
      <c r="F46" s="39" t="s">
        <v>80</v>
      </c>
    </row>
    <row r="47" spans="1:6" x14ac:dyDescent="0.15">
      <c r="A47">
        <v>47.1</v>
      </c>
      <c r="B47" cm="1">
        <f t="array" ref="B47:B66">_xlfn.RANK.AVG(A47:A66,A47:A66,1)</f>
        <v>1</v>
      </c>
      <c r="C47" cm="1">
        <f t="array" ref="C47:C66">(_xlfn.ANCHORARRAY(B47)-0.5)/COUNT(A47:A66)</f>
        <v>2.5000000000000001E-2</v>
      </c>
      <c r="D47" cm="1">
        <f t="array" ref="D47:D66">LN(A47:A66)</f>
        <v>3.8522730010223722</v>
      </c>
      <c r="E47" cm="1">
        <f t="array" ref="E47:E66">LN(-LN(1-_xlfn.ANCHORARRAY(C47)))</f>
        <v>-3.6762472579541758</v>
      </c>
      <c r="F47" cm="1">
        <f t="array" ref="F47:F66">_xlfn.NORM.S.INV(_xlfn.ANCHORARRAY(C47))</f>
        <v>-1.9599639845400538</v>
      </c>
    </row>
    <row r="48" spans="1:6" x14ac:dyDescent="0.15">
      <c r="A48">
        <v>68.099999999999994</v>
      </c>
      <c r="B48">
        <v>2.5</v>
      </c>
      <c r="C48">
        <v>0.1</v>
      </c>
      <c r="D48">
        <v>4.220977213155467</v>
      </c>
      <c r="E48">
        <v>-2.2503673273124454</v>
      </c>
      <c r="F48">
        <v>-1.2815515655446006</v>
      </c>
    </row>
    <row r="49" spans="1:6" x14ac:dyDescent="0.15">
      <c r="A49">
        <v>68.099999999999994</v>
      </c>
      <c r="B49">
        <v>2.5</v>
      </c>
      <c r="C49">
        <v>0.1</v>
      </c>
      <c r="D49">
        <v>4.220977213155467</v>
      </c>
      <c r="E49">
        <v>-2.2503673273124454</v>
      </c>
      <c r="F49">
        <v>-1.2815515655446006</v>
      </c>
    </row>
    <row r="50" spans="1:6" x14ac:dyDescent="0.15">
      <c r="A50">
        <v>90.8</v>
      </c>
      <c r="B50">
        <v>4</v>
      </c>
      <c r="C50">
        <v>0.17499999999999999</v>
      </c>
      <c r="D50">
        <v>4.5086592856072478</v>
      </c>
      <c r="E50">
        <v>-1.6483248395333732</v>
      </c>
      <c r="F50">
        <v>-0.93458929107347943</v>
      </c>
    </row>
    <row r="51" spans="1:6" x14ac:dyDescent="0.15">
      <c r="A51">
        <v>103.6</v>
      </c>
      <c r="B51">
        <v>5</v>
      </c>
      <c r="C51">
        <v>0.22500000000000001</v>
      </c>
      <c r="D51">
        <v>4.6405373298253823</v>
      </c>
      <c r="E51">
        <v>-1.3669143735986529</v>
      </c>
      <c r="F51">
        <v>-0.75541502636046909</v>
      </c>
    </row>
    <row r="52" spans="1:6" x14ac:dyDescent="0.15">
      <c r="A52">
        <v>106</v>
      </c>
      <c r="B52">
        <v>6</v>
      </c>
      <c r="C52">
        <v>0.27500000000000002</v>
      </c>
      <c r="D52">
        <v>4.6634390941120669</v>
      </c>
      <c r="E52">
        <v>-1.1344976629754648</v>
      </c>
      <c r="F52">
        <v>-0.59776012604247841</v>
      </c>
    </row>
    <row r="53" spans="1:6" x14ac:dyDescent="0.15">
      <c r="A53">
        <v>115</v>
      </c>
      <c r="B53">
        <v>7</v>
      </c>
      <c r="C53">
        <v>0.32500000000000001</v>
      </c>
      <c r="D53">
        <v>4.7449321283632502</v>
      </c>
      <c r="E53">
        <v>-0.9338373062930091</v>
      </c>
      <c r="F53">
        <v>-0.45376219016987951</v>
      </c>
    </row>
    <row r="54" spans="1:6" x14ac:dyDescent="0.15">
      <c r="A54">
        <v>126</v>
      </c>
      <c r="B54">
        <v>8</v>
      </c>
      <c r="C54">
        <v>0.375</v>
      </c>
      <c r="D54">
        <v>4.836281906951478</v>
      </c>
      <c r="E54">
        <v>-0.75501486250840832</v>
      </c>
      <c r="F54">
        <v>-0.3186393639643752</v>
      </c>
    </row>
    <row r="55" spans="1:6" x14ac:dyDescent="0.15">
      <c r="A55">
        <v>146.6</v>
      </c>
      <c r="B55">
        <v>9</v>
      </c>
      <c r="C55">
        <v>0.42499999999999999</v>
      </c>
      <c r="D55">
        <v>4.9877077894525508</v>
      </c>
      <c r="E55">
        <v>-0.59170088675056343</v>
      </c>
      <c r="F55">
        <v>-0.18911842627279254</v>
      </c>
    </row>
    <row r="56" spans="1:6" x14ac:dyDescent="0.15">
      <c r="A56">
        <v>229</v>
      </c>
      <c r="B56">
        <v>10</v>
      </c>
      <c r="C56">
        <v>0.47499999999999998</v>
      </c>
      <c r="D56">
        <v>5.43372200355424</v>
      </c>
      <c r="E56">
        <v>-0.43950233320868604</v>
      </c>
      <c r="F56">
        <v>-6.2706777943213846E-2</v>
      </c>
    </row>
    <row r="57" spans="1:6" x14ac:dyDescent="0.15">
      <c r="A57">
        <v>240</v>
      </c>
      <c r="B57">
        <v>11.5</v>
      </c>
      <c r="C57">
        <v>0.55000000000000004</v>
      </c>
      <c r="D57">
        <v>5.4806389233419912</v>
      </c>
      <c r="E57">
        <v>-0.22501067302940858</v>
      </c>
      <c r="F57">
        <v>0.12566134685507416</v>
      </c>
    </row>
    <row r="58" spans="1:6" x14ac:dyDescent="0.15">
      <c r="A58">
        <v>240</v>
      </c>
      <c r="B58">
        <v>11.5</v>
      </c>
      <c r="C58">
        <v>0.55000000000000004</v>
      </c>
      <c r="D58">
        <v>5.4806389233419912</v>
      </c>
      <c r="E58">
        <v>-0.22501067302940858</v>
      </c>
      <c r="F58">
        <v>0.12566134685507416</v>
      </c>
    </row>
    <row r="59" spans="1:6" x14ac:dyDescent="0.15">
      <c r="A59">
        <v>278</v>
      </c>
      <c r="B59">
        <v>13.5</v>
      </c>
      <c r="C59">
        <v>0.65</v>
      </c>
      <c r="D59">
        <v>5.6276211136906369</v>
      </c>
      <c r="E59">
        <v>4.8620744579389266E-2</v>
      </c>
      <c r="F59">
        <v>0.38532046640756784</v>
      </c>
    </row>
    <row r="60" spans="1:6" x14ac:dyDescent="0.15">
      <c r="A60">
        <v>278</v>
      </c>
      <c r="B60">
        <v>13.5</v>
      </c>
      <c r="C60">
        <v>0.65</v>
      </c>
      <c r="D60">
        <v>5.6276211136906369</v>
      </c>
      <c r="E60">
        <v>4.8620744579389266E-2</v>
      </c>
      <c r="F60">
        <v>0.38532046640756784</v>
      </c>
    </row>
    <row r="61" spans="1:6" x14ac:dyDescent="0.15">
      <c r="A61">
        <v>289</v>
      </c>
      <c r="B61">
        <v>15.5</v>
      </c>
      <c r="C61">
        <v>0.75</v>
      </c>
      <c r="D61">
        <v>5.6664266881124323</v>
      </c>
      <c r="E61">
        <v>0.32663425997828094</v>
      </c>
      <c r="F61">
        <v>0.67448975019608193</v>
      </c>
    </row>
    <row r="62" spans="1:6" x14ac:dyDescent="0.15">
      <c r="A62">
        <v>289</v>
      </c>
      <c r="B62">
        <v>15.5</v>
      </c>
      <c r="C62">
        <v>0.75</v>
      </c>
      <c r="D62">
        <v>5.6664266881124323</v>
      </c>
      <c r="E62">
        <v>0.32663425997828094</v>
      </c>
      <c r="F62">
        <v>0.67448975019608193</v>
      </c>
    </row>
    <row r="63" spans="1:6" x14ac:dyDescent="0.15">
      <c r="A63">
        <v>367</v>
      </c>
      <c r="B63">
        <v>17</v>
      </c>
      <c r="C63">
        <v>0.82499999999999996</v>
      </c>
      <c r="D63">
        <v>5.9053618480545707</v>
      </c>
      <c r="E63">
        <v>0.55559015597468497</v>
      </c>
      <c r="F63">
        <v>0.9345892910734801</v>
      </c>
    </row>
    <row r="64" spans="1:6" x14ac:dyDescent="0.15">
      <c r="A64">
        <v>385.9</v>
      </c>
      <c r="B64">
        <v>18</v>
      </c>
      <c r="C64">
        <v>0.875</v>
      </c>
      <c r="D64">
        <v>5.9555782685435732</v>
      </c>
      <c r="E64">
        <v>0.73209936808644527</v>
      </c>
      <c r="F64">
        <v>1.1503493803760083</v>
      </c>
    </row>
    <row r="65" spans="1:6" x14ac:dyDescent="0.15">
      <c r="A65">
        <v>392</v>
      </c>
      <c r="B65">
        <v>19</v>
      </c>
      <c r="C65">
        <v>0.92500000000000004</v>
      </c>
      <c r="D65">
        <v>5.9712618397904622</v>
      </c>
      <c r="E65">
        <v>0.95176102307336086</v>
      </c>
      <c r="F65">
        <v>1.4395314709384563</v>
      </c>
    </row>
    <row r="66" spans="1:6" x14ac:dyDescent="0.15">
      <c r="A66">
        <v>505</v>
      </c>
      <c r="B66">
        <v>20</v>
      </c>
      <c r="C66">
        <v>0.97499999999999998</v>
      </c>
      <c r="D66">
        <v>6.2245584292753602</v>
      </c>
      <c r="E66">
        <v>1.3053227409632364</v>
      </c>
      <c r="F66">
        <v>1.9599639845400536</v>
      </c>
    </row>
    <row r="94" spans="1:6" x14ac:dyDescent="0.15">
      <c r="A94" s="40" t="s">
        <v>81</v>
      </c>
      <c r="B94" s="40" t="s">
        <v>68</v>
      </c>
      <c r="C94" s="40" t="s">
        <v>71</v>
      </c>
      <c r="D94" s="40" t="s">
        <v>82</v>
      </c>
      <c r="E94" s="40" t="s">
        <v>83</v>
      </c>
      <c r="F94" s="40" t="s">
        <v>84</v>
      </c>
    </row>
    <row r="95" spans="1:6" x14ac:dyDescent="0.15">
      <c r="A95">
        <v>0.77</v>
      </c>
      <c r="B95" cm="1">
        <f t="array" ref="B95:B124">_xlfn.RANK.AVG(A95:A124,A95:A124,1)</f>
        <v>5</v>
      </c>
      <c r="C95" cm="1">
        <f t="array" ref="C95:C124">(_xlfn.ANCHORARRAY(B95)-0.5)/COUNT(A95:A124)</f>
        <v>0.15</v>
      </c>
      <c r="D95" cm="1">
        <f t="array" ref="D95:D124">_xlfn.NORM.S.INV(_xlfn.ANCHORARRAY(C95))</f>
        <v>-1.0364333894937898</v>
      </c>
      <c r="E95" cm="1">
        <f t="array" ref="E95:E124">SQRT(A95:A124)</f>
        <v>0.87749643873921224</v>
      </c>
      <c r="F95" cm="1">
        <f t="array" ref="F95:F124">POWER(_xlfn.ANCHORARRAY(D95),1/3)</f>
        <v>-1.0119998898246578</v>
      </c>
    </row>
    <row r="96" spans="1:6" x14ac:dyDescent="0.15">
      <c r="A96">
        <v>1.74</v>
      </c>
      <c r="B96">
        <v>18</v>
      </c>
      <c r="C96">
        <v>0.58333333333333337</v>
      </c>
      <c r="D96">
        <v>0.21042839424792484</v>
      </c>
      <c r="E96">
        <v>1.3190905958272918</v>
      </c>
      <c r="F96">
        <v>0.5947961020136221</v>
      </c>
    </row>
    <row r="97" spans="1:6" x14ac:dyDescent="0.15">
      <c r="A97">
        <v>0.81</v>
      </c>
      <c r="B97">
        <v>6.5</v>
      </c>
      <c r="C97">
        <v>0.2</v>
      </c>
      <c r="D97">
        <v>-0.84162123357291452</v>
      </c>
      <c r="E97">
        <v>0.9</v>
      </c>
      <c r="F97">
        <v>-0.94414542848477034</v>
      </c>
    </row>
    <row r="98" spans="1:6" x14ac:dyDescent="0.15">
      <c r="A98">
        <v>1.2</v>
      </c>
      <c r="B98">
        <v>11.5</v>
      </c>
      <c r="C98">
        <v>0.36666666666666664</v>
      </c>
      <c r="D98">
        <v>-0.34069482708779553</v>
      </c>
      <c r="E98">
        <v>1.0954451150103321</v>
      </c>
      <c r="F98">
        <v>-0.69842832901750751</v>
      </c>
    </row>
    <row r="99" spans="1:6" x14ac:dyDescent="0.15">
      <c r="A99">
        <v>1.95</v>
      </c>
      <c r="B99">
        <v>21</v>
      </c>
      <c r="C99">
        <v>0.68333333333333335</v>
      </c>
      <c r="D99">
        <v>0.47704042848944361</v>
      </c>
      <c r="E99">
        <v>1.3964240043768941</v>
      </c>
      <c r="F99">
        <v>0.78136099690828653</v>
      </c>
    </row>
    <row r="100" spans="1:6" x14ac:dyDescent="0.15">
      <c r="A100">
        <v>1.2</v>
      </c>
      <c r="B100">
        <v>11.5</v>
      </c>
      <c r="C100">
        <v>0.36666666666666664</v>
      </c>
      <c r="D100">
        <v>-0.34069482708779553</v>
      </c>
      <c r="E100">
        <v>1.0954451150103321</v>
      </c>
      <c r="F100">
        <v>-0.69842832901750751</v>
      </c>
    </row>
    <row r="101" spans="1:6" x14ac:dyDescent="0.15">
      <c r="A101">
        <v>0.47</v>
      </c>
      <c r="B101">
        <v>2</v>
      </c>
      <c r="C101">
        <v>0.05</v>
      </c>
      <c r="D101">
        <v>-1.6448536269514726</v>
      </c>
      <c r="E101">
        <v>0.68556546004010444</v>
      </c>
      <c r="F101">
        <v>-1.180435926973618</v>
      </c>
    </row>
    <row r="102" spans="1:6" x14ac:dyDescent="0.15">
      <c r="A102">
        <v>1.43</v>
      </c>
      <c r="B102">
        <v>15</v>
      </c>
      <c r="C102">
        <v>0.48333333333333334</v>
      </c>
      <c r="D102">
        <v>-4.178929781645381E-2</v>
      </c>
      <c r="E102">
        <v>1.1958260743101399</v>
      </c>
      <c r="F102">
        <v>-0.34702041481559587</v>
      </c>
    </row>
    <row r="103" spans="1:6" x14ac:dyDescent="0.15">
      <c r="A103">
        <v>3.37</v>
      </c>
      <c r="B103">
        <v>29</v>
      </c>
      <c r="C103">
        <v>0.95</v>
      </c>
      <c r="D103">
        <v>1.6448536269514715</v>
      </c>
      <c r="E103">
        <v>1.8357559750685819</v>
      </c>
      <c r="F103">
        <v>1.1804359269736178</v>
      </c>
    </row>
    <row r="104" spans="1:6" x14ac:dyDescent="0.15">
      <c r="A104">
        <v>2.2000000000000002</v>
      </c>
      <c r="B104">
        <v>24</v>
      </c>
      <c r="C104">
        <v>0.78333333333333333</v>
      </c>
      <c r="D104">
        <v>0.78350037538977446</v>
      </c>
      <c r="E104">
        <v>1.4832396974191326</v>
      </c>
      <c r="F104">
        <v>0.92189134200624623</v>
      </c>
    </row>
    <row r="105" spans="1:6" x14ac:dyDescent="0.15">
      <c r="A105">
        <v>3</v>
      </c>
      <c r="B105">
        <v>27</v>
      </c>
      <c r="C105">
        <v>0.8833333333333333</v>
      </c>
      <c r="D105">
        <v>1.1918161716813944</v>
      </c>
      <c r="E105">
        <v>1.7320508075688772</v>
      </c>
      <c r="F105">
        <v>1.0602373301746117</v>
      </c>
    </row>
    <row r="106" spans="1:6" x14ac:dyDescent="0.15">
      <c r="A106">
        <v>3.09</v>
      </c>
      <c r="B106">
        <v>28</v>
      </c>
      <c r="C106">
        <v>0.91666666666666663</v>
      </c>
      <c r="D106">
        <v>1.3829941271006372</v>
      </c>
      <c r="E106">
        <v>1.7578395831246945</v>
      </c>
      <c r="F106">
        <v>1.1141408859665853</v>
      </c>
    </row>
    <row r="107" spans="1:6" x14ac:dyDescent="0.15">
      <c r="A107">
        <v>1.51</v>
      </c>
      <c r="B107">
        <v>16</v>
      </c>
      <c r="C107">
        <v>0.51666666666666672</v>
      </c>
      <c r="D107">
        <v>4.1789297816453949E-2</v>
      </c>
      <c r="E107">
        <v>1.2288205727444508</v>
      </c>
      <c r="F107">
        <v>0.34702041481559626</v>
      </c>
    </row>
    <row r="108" spans="1:6" x14ac:dyDescent="0.15">
      <c r="A108">
        <v>2.1</v>
      </c>
      <c r="B108">
        <v>23</v>
      </c>
      <c r="C108">
        <v>0.75</v>
      </c>
      <c r="D108">
        <v>0.67448975019608193</v>
      </c>
      <c r="E108">
        <v>1.4491376746189439</v>
      </c>
      <c r="F108">
        <v>0.87698423174869233</v>
      </c>
    </row>
    <row r="109" spans="1:6" x14ac:dyDescent="0.15">
      <c r="A109">
        <v>0.52</v>
      </c>
      <c r="B109">
        <v>3</v>
      </c>
      <c r="C109">
        <v>8.3333333333333329E-2</v>
      </c>
      <c r="D109">
        <v>-1.3829941271006392</v>
      </c>
      <c r="E109">
        <v>0.72111025509279791</v>
      </c>
      <c r="F109">
        <v>-1.1141408859665858</v>
      </c>
    </row>
    <row r="110" spans="1:6" x14ac:dyDescent="0.15">
      <c r="A110">
        <v>1.62</v>
      </c>
      <c r="B110">
        <v>17</v>
      </c>
      <c r="C110">
        <v>0.55000000000000004</v>
      </c>
      <c r="D110">
        <v>0.12566134685507416</v>
      </c>
      <c r="E110">
        <v>1.2727922061357855</v>
      </c>
      <c r="F110">
        <v>0.5008802452340323</v>
      </c>
    </row>
    <row r="111" spans="1:6" x14ac:dyDescent="0.15">
      <c r="A111">
        <v>1.31</v>
      </c>
      <c r="B111">
        <v>13</v>
      </c>
      <c r="C111">
        <v>0.41666666666666669</v>
      </c>
      <c r="D111">
        <v>-0.21042839424792467</v>
      </c>
      <c r="E111">
        <v>1.1445523142259597</v>
      </c>
      <c r="F111">
        <v>-0.59479610201362187</v>
      </c>
    </row>
    <row r="112" spans="1:6" x14ac:dyDescent="0.15">
      <c r="A112">
        <v>0.32</v>
      </c>
      <c r="B112">
        <v>1</v>
      </c>
      <c r="C112">
        <v>1.6666666666666666E-2</v>
      </c>
      <c r="D112">
        <v>-2.128045234184984</v>
      </c>
      <c r="E112">
        <v>0.56568542494923801</v>
      </c>
      <c r="F112">
        <v>-1.2862546319750885</v>
      </c>
    </row>
    <row r="113" spans="1:6" x14ac:dyDescent="0.15">
      <c r="A113">
        <v>0.59</v>
      </c>
      <c r="B113">
        <v>4</v>
      </c>
      <c r="C113">
        <v>0.11666666666666667</v>
      </c>
      <c r="D113">
        <v>-1.1918161716813944</v>
      </c>
      <c r="E113">
        <v>0.76811457478686085</v>
      </c>
      <c r="F113">
        <v>-1.0602373301746117</v>
      </c>
    </row>
    <row r="114" spans="1:6" x14ac:dyDescent="0.15">
      <c r="A114">
        <v>0.81</v>
      </c>
      <c r="B114">
        <v>6.5</v>
      </c>
      <c r="C114">
        <v>0.2</v>
      </c>
      <c r="D114">
        <v>-0.84162123357291452</v>
      </c>
      <c r="E114">
        <v>0.9</v>
      </c>
      <c r="F114">
        <v>-0.94414542848477034</v>
      </c>
    </row>
    <row r="115" spans="1:6" x14ac:dyDescent="0.15">
      <c r="A115">
        <v>2.81</v>
      </c>
      <c r="B115">
        <v>26</v>
      </c>
      <c r="C115">
        <v>0.85</v>
      </c>
      <c r="D115">
        <v>1.0364333894937898</v>
      </c>
      <c r="E115">
        <v>1.6763054614240209</v>
      </c>
      <c r="F115">
        <v>1.0119998898246578</v>
      </c>
    </row>
    <row r="116" spans="1:6" x14ac:dyDescent="0.15">
      <c r="A116">
        <v>1.87</v>
      </c>
      <c r="B116">
        <v>19</v>
      </c>
      <c r="C116">
        <v>0.6166666666666667</v>
      </c>
      <c r="D116">
        <v>0.29673783825989819</v>
      </c>
      <c r="E116">
        <v>1.3674794331177345</v>
      </c>
      <c r="F116">
        <v>0.66699765877850437</v>
      </c>
    </row>
    <row r="117" spans="1:6" x14ac:dyDescent="0.15">
      <c r="A117">
        <v>1.18</v>
      </c>
      <c r="B117">
        <v>10</v>
      </c>
      <c r="C117">
        <v>0.31666666666666665</v>
      </c>
      <c r="D117">
        <v>-0.47704042848944361</v>
      </c>
      <c r="E117">
        <v>1.0862780491200215</v>
      </c>
      <c r="F117">
        <v>-0.78136099690828653</v>
      </c>
    </row>
    <row r="118" spans="1:6" x14ac:dyDescent="0.15">
      <c r="A118">
        <v>1.35</v>
      </c>
      <c r="B118">
        <v>14</v>
      </c>
      <c r="C118">
        <v>0.45</v>
      </c>
      <c r="D118">
        <v>-0.12566134685507402</v>
      </c>
      <c r="E118">
        <v>1.1618950038622251</v>
      </c>
      <c r="F118">
        <v>-0.50088024523403207</v>
      </c>
    </row>
    <row r="119" spans="1:6" x14ac:dyDescent="0.15">
      <c r="A119">
        <v>4.75</v>
      </c>
      <c r="B119">
        <v>30</v>
      </c>
      <c r="C119">
        <v>0.98333333333333328</v>
      </c>
      <c r="D119">
        <v>2.128045234184984</v>
      </c>
      <c r="E119">
        <v>2.179449471770337</v>
      </c>
      <c r="F119">
        <v>1.2862546319750885</v>
      </c>
    </row>
    <row r="120" spans="1:6" x14ac:dyDescent="0.15">
      <c r="A120">
        <v>2.48</v>
      </c>
      <c r="B120">
        <v>25</v>
      </c>
      <c r="C120">
        <v>0.81666666666666665</v>
      </c>
      <c r="D120">
        <v>0.90273479164386372</v>
      </c>
      <c r="E120">
        <v>1.5748015748023623</v>
      </c>
      <c r="F120">
        <v>0.96646632622446427</v>
      </c>
    </row>
    <row r="121" spans="1:6" x14ac:dyDescent="0.15">
      <c r="A121">
        <v>0.96</v>
      </c>
      <c r="B121">
        <v>9</v>
      </c>
      <c r="C121">
        <v>0.28333333333333333</v>
      </c>
      <c r="D121">
        <v>-0.57296754849546372</v>
      </c>
      <c r="E121">
        <v>0.9797958971132712</v>
      </c>
      <c r="F121">
        <v>-0.83057083125134212</v>
      </c>
    </row>
    <row r="122" spans="1:6" x14ac:dyDescent="0.15">
      <c r="A122">
        <v>1.89</v>
      </c>
      <c r="B122">
        <v>20</v>
      </c>
      <c r="C122">
        <v>0.65</v>
      </c>
      <c r="D122">
        <v>0.38532046640756784</v>
      </c>
      <c r="E122">
        <v>1.374772708486752</v>
      </c>
      <c r="F122">
        <v>0.72768042519052456</v>
      </c>
    </row>
    <row r="123" spans="1:6" x14ac:dyDescent="0.15">
      <c r="A123">
        <v>0.9</v>
      </c>
      <c r="B123">
        <v>8</v>
      </c>
      <c r="C123">
        <v>0.25</v>
      </c>
      <c r="D123">
        <v>-0.67448975019608193</v>
      </c>
      <c r="E123">
        <v>0.94868329805051377</v>
      </c>
      <c r="F123">
        <v>-0.87698423174869233</v>
      </c>
    </row>
    <row r="124" spans="1:6" x14ac:dyDescent="0.15">
      <c r="A124">
        <v>2.0499999999999998</v>
      </c>
      <c r="B124">
        <v>22</v>
      </c>
      <c r="C124">
        <v>0.71666666666666667</v>
      </c>
      <c r="D124">
        <v>0.57296754849546372</v>
      </c>
      <c r="E124">
        <v>1.4317821063276353</v>
      </c>
      <c r="F124">
        <v>0.83057083125134212</v>
      </c>
    </row>
  </sheetData>
  <mergeCells count="2">
    <mergeCell ref="O1:S1"/>
    <mergeCell ref="X1:AA1"/>
  </mergeCells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8485A5-6E7A-4F64-B678-EE720150CF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F-Test</vt:lpstr>
      <vt:lpstr>P 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2023-11-21T15:09:18Z</cp:lastPrinted>
  <dcterms:created xsi:type="dcterms:W3CDTF">2023-11-20T15:45:15Z</dcterms:created>
  <dcterms:modified xsi:type="dcterms:W3CDTF">2024-04-07T11:48:24Z</dcterms:modified>
</cp:coreProperties>
</file>