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21798559d53d1b0/Documents/"/>
    </mc:Choice>
  </mc:AlternateContent>
  <xr:revisionPtr revIDLastSave="1310" documentId="8_{72AF13F1-6ED7-4733-9DC9-7F24FE0BD7C1}" xr6:coauthVersionLast="47" xr6:coauthVersionMax="47" xr10:uidLastSave="{A0862D9C-2B32-433C-81FC-3A44F34BBF8B}"/>
  <bookViews>
    <workbookView minimized="1" xWindow="5790" yWindow="3645" windowWidth="16395" windowHeight="11835" xr2:uid="{3547CC6D-CB91-480E-AA32-1AE21D5E59C2}"/>
  </bookViews>
  <sheets>
    <sheet name="Table 0" sheetId="2" r:id="rId1"/>
    <sheet name="Sheet2" sheetId="3" r:id="rId2"/>
    <sheet name="Sheet1" sheetId="1" r:id="rId3"/>
    <sheet name="Sheet3" sheetId="4" r:id="rId4"/>
    <sheet name="Sheet5" sheetId="6" r:id="rId5"/>
    <sheet name="Sheet4" sheetId="5" r:id="rId6"/>
    <sheet name="Regression" sheetId="7" r:id="rId7"/>
  </sheets>
  <definedNames>
    <definedName name="_xlchart.v1.0" hidden="1">Sheet3!$C$3:$C$21</definedName>
    <definedName name="_xlchart.v1.1" hidden="1">Sheet3!$D$3:$D$21</definedName>
    <definedName name="_xlchart.v1.10" hidden="1">Sheet4!$AE$55:$AE$59</definedName>
    <definedName name="_xlchart.v1.11" hidden="1">Sheet4!$AF$55:$AF$59</definedName>
    <definedName name="_xlchart.v1.12" hidden="1">Sheet4!$AG$55:$AG$59</definedName>
    <definedName name="_xlchart.v1.13" hidden="1">Sheet4!$AH$55:$AH$59</definedName>
    <definedName name="_xlchart.v1.14" hidden="1">Sheet4!$AI$55:$AI$59</definedName>
    <definedName name="_xlchart.v1.15" hidden="1">Sheet4!$AJ$55:$AJ$59</definedName>
    <definedName name="_xlchart.v1.16" hidden="1">Sheet4!$AK$55:$AK$59</definedName>
    <definedName name="_xlchart.v1.17" hidden="1">Sheet4!$AL$55:$AL$59</definedName>
    <definedName name="_xlchart.v1.18" hidden="1">Sheet4!$AM$55:$AM$59</definedName>
    <definedName name="_xlchart.v1.19" hidden="1">Sheet4!$AN$55:$AN$59</definedName>
    <definedName name="_xlchart.v1.2" hidden="1">Sheet5!$I$4</definedName>
    <definedName name="_xlchart.v1.20" hidden="1">Sheet4!$AO$55:$AO$59</definedName>
    <definedName name="_xlchart.v1.21" hidden="1">Sheet4!$AP$55:$AP$59</definedName>
    <definedName name="_xlchart.v1.22" hidden="1">Sheet4!$AQ$55:$AQ$59</definedName>
    <definedName name="_xlchart.v1.23" hidden="1">Sheet4!$AR$55:$AR$59</definedName>
    <definedName name="_xlchart.v1.24" hidden="1">Sheet4!$AS$55:$AS$59</definedName>
    <definedName name="_xlchart.v1.25" hidden="1">Sheet4!$AT$55:$AT$59</definedName>
    <definedName name="_xlchart.v1.26" hidden="1">Sheet4!$AU$55:$AU$59</definedName>
    <definedName name="_xlchart.v1.27" hidden="1">Sheet4!$C$55:$C$59</definedName>
    <definedName name="_xlchart.v1.28" hidden="1">Sheet4!$D$55:$D$59</definedName>
    <definedName name="_xlchart.v1.29" hidden="1">Sheet4!$E$55:$E$59</definedName>
    <definedName name="_xlchart.v1.3" hidden="1">Sheet5!$I$5:$I$24</definedName>
    <definedName name="_xlchart.v1.30" hidden="1">Sheet4!$F$55:$F$59</definedName>
    <definedName name="_xlchart.v1.31" hidden="1">Sheet4!$G$55:$G$59</definedName>
    <definedName name="_xlchart.v1.32" hidden="1">Sheet4!$H$55:$H$59</definedName>
    <definedName name="_xlchart.v1.33" hidden="1">Sheet4!$I$55:$I$59</definedName>
    <definedName name="_xlchart.v1.34" hidden="1">Sheet4!$J$55:$J$59</definedName>
    <definedName name="_xlchart.v1.35" hidden="1">Sheet4!$K$55:$K$59</definedName>
    <definedName name="_xlchart.v1.36" hidden="1">Sheet4!$L$55:$L$59</definedName>
    <definedName name="_xlchart.v1.37" hidden="1">Sheet4!$M$55:$M$59</definedName>
    <definedName name="_xlchart.v1.38" hidden="1">Sheet4!$N$55:$N$59</definedName>
    <definedName name="_xlchart.v1.39" hidden="1">Sheet4!$O$55:$O$59</definedName>
    <definedName name="_xlchart.v1.4" hidden="1">Sheet5!$M$4</definedName>
    <definedName name="_xlchart.v1.40" hidden="1">Sheet4!$P$55:$P$59</definedName>
    <definedName name="_xlchart.v1.41" hidden="1">Sheet4!$Q$55:$Q$59</definedName>
    <definedName name="_xlchart.v1.42" hidden="1">Sheet4!$R$55:$R$59</definedName>
    <definedName name="_xlchart.v1.43" hidden="1">Sheet4!$S$55:$S$59</definedName>
    <definedName name="_xlchart.v1.44" hidden="1">Sheet4!$T$55:$T$59</definedName>
    <definedName name="_xlchart.v1.45" hidden="1">Sheet4!$U$55:$U$59</definedName>
    <definedName name="_xlchart.v1.46" hidden="1">Sheet4!$V$55:$V$59</definedName>
    <definedName name="_xlchart.v1.47" hidden="1">Sheet4!$W$55:$W$59</definedName>
    <definedName name="_xlchart.v1.48" hidden="1">Sheet4!$X$55:$X$59</definedName>
    <definedName name="_xlchart.v1.49" hidden="1">Sheet4!$Y$55:$Y$59</definedName>
    <definedName name="_xlchart.v1.5" hidden="1">Sheet5!$M$5:$M$24</definedName>
    <definedName name="_xlchart.v1.50" hidden="1">Sheet4!$Z$55:$Z$59</definedName>
    <definedName name="_xlchart.v1.6" hidden="1">Sheet4!$AA$55:$AA$59</definedName>
    <definedName name="_xlchart.v1.7" hidden="1">Sheet4!$AB$55:$AB$59</definedName>
    <definedName name="_xlchart.v1.8" hidden="1">Sheet4!$AC$55:$AC$59</definedName>
    <definedName name="_xlchart.v1.9" hidden="1">Sheet4!$AD$55:$AD$59</definedName>
    <definedName name="ExternalData_1" localSheetId="0" hidden="1">'Table 0'!$A$1:$C$281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7" l="1" a="1"/>
  <c r="D40" i="7" s="1"/>
  <c r="B68" i="7"/>
  <c r="E40" i="7" s="1" a="1"/>
  <c r="E40" i="7" s="1"/>
  <c r="B67" i="7"/>
  <c r="C2" i="7" a="1"/>
  <c r="C2" i="7" s="1"/>
  <c r="F3" i="7"/>
  <c r="F2" i="7"/>
  <c r="Q44" i="6"/>
  <c r="Q43" i="6"/>
  <c r="N5" i="6" a="1"/>
  <c r="N5" i="6" s="1"/>
  <c r="O5" i="6" s="1" a="1"/>
  <c r="O5" i="6" s="1"/>
  <c r="P5" i="6" s="1" a="1"/>
  <c r="P5" i="6" s="1"/>
  <c r="J5" i="6" a="1"/>
  <c r="J5" i="6" s="1"/>
  <c r="K5" i="6" s="1" a="1"/>
  <c r="K5" i="6" s="1"/>
  <c r="L5" i="6" s="1" a="1"/>
  <c r="L5" i="6" s="1"/>
  <c r="D18" i="6" a="1"/>
  <c r="D18" i="6" s="1"/>
  <c r="D23" i="6" s="1"/>
  <c r="D25" i="6" s="1"/>
  <c r="E7" i="6" a="1"/>
  <c r="E7" i="6" s="1"/>
  <c r="A8" i="6"/>
  <c r="A9" i="6"/>
  <c r="A10" i="6"/>
  <c r="A11" i="6"/>
  <c r="A12" i="6"/>
  <c r="A13" i="6"/>
  <c r="A7" i="6"/>
  <c r="B3" i="6"/>
  <c r="B2" i="6"/>
  <c r="U59" i="4"/>
  <c r="U57" i="4"/>
  <c r="Q101" i="4"/>
  <c r="R98" i="4"/>
  <c r="R97" i="4"/>
  <c r="R96" i="4"/>
  <c r="R94" i="4"/>
  <c r="R92" i="4"/>
  <c r="R91" i="4"/>
  <c r="R89" i="4"/>
  <c r="S83" i="4"/>
  <c r="R83" i="4"/>
  <c r="R86" i="4" s="1"/>
  <c r="S81" i="4"/>
  <c r="R81" i="4"/>
  <c r="R82" i="4" s="1"/>
  <c r="V31" i="4"/>
  <c r="S53" i="4"/>
  <c r="T47" i="4"/>
  <c r="S47" i="4"/>
  <c r="S50" i="4" s="1"/>
  <c r="T46" i="4"/>
  <c r="S46" i="4"/>
  <c r="T45" i="4"/>
  <c r="S45" i="4"/>
  <c r="U12" i="4"/>
  <c r="U11" i="4"/>
  <c r="U9" i="4"/>
  <c r="U7" i="4"/>
  <c r="S17" i="4"/>
  <c r="R17" i="4"/>
  <c r="R19" i="4" s="1"/>
  <c r="S16" i="4"/>
  <c r="R16" i="4"/>
  <c r="M10" i="4"/>
  <c r="N10" i="4" s="1"/>
  <c r="J63" i="4"/>
  <c r="I63" i="4"/>
  <c r="I67" i="4"/>
  <c r="I66" i="4"/>
  <c r="J47" i="4"/>
  <c r="J46" i="4"/>
  <c r="J42" i="4"/>
  <c r="J43" i="4" s="1"/>
  <c r="I42" i="4"/>
  <c r="I43" i="4" s="1"/>
  <c r="S85" i="4" a="1"/>
  <c r="B70" i="7" l="1" a="1"/>
  <c r="B70" i="7" s="1"/>
  <c r="B71" i="7" s="1"/>
  <c r="D2" i="7" a="1"/>
  <c r="D2" i="7" s="1"/>
  <c r="G5" i="7" s="1" a="1"/>
  <c r="G5" i="7" s="1"/>
  <c r="G6" i="7" s="1"/>
  <c r="D3" i="6"/>
  <c r="S85" i="4"/>
  <c r="J44" i="4"/>
  <c r="J49" i="4" s="1"/>
  <c r="R22" i="4"/>
  <c r="R21" i="4"/>
  <c r="R24" i="4" s="1"/>
  <c r="R85" i="4"/>
  <c r="R87" i="4" s="1"/>
  <c r="R88" i="4" s="1"/>
  <c r="S49" i="4"/>
  <c r="S51" i="4" s="1"/>
  <c r="I64" i="4"/>
  <c r="I69" i="4" s="1"/>
  <c r="E34" i="4" l="1"/>
  <c r="E33" i="4"/>
  <c r="E32" i="4"/>
  <c r="E31" i="4"/>
  <c r="E29" i="4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D27" i="4"/>
  <c r="D22" i="4"/>
  <c r="F59" i="3"/>
  <c r="F58" i="3"/>
  <c r="F57" i="3"/>
  <c r="F56" i="3"/>
  <c r="B89" i="3"/>
  <c r="B90" i="3"/>
  <c r="B6" i="3"/>
  <c r="C6" i="3"/>
  <c r="D84" i="3"/>
  <c r="D83" i="3"/>
  <c r="D82" i="3"/>
  <c r="D81" i="3"/>
  <c r="D68" i="3" a="1"/>
  <c r="D68" i="3" s="1"/>
  <c r="D59" i="3"/>
  <c r="D58" i="3"/>
  <c r="D57" i="3"/>
  <c r="D56" i="3"/>
  <c r="D40" i="3" a="1"/>
  <c r="D40" i="3" s="1"/>
  <c r="G21" i="3"/>
  <c r="G20" i="3"/>
  <c r="D20" i="3" a="1"/>
  <c r="D20" i="3" s="1"/>
  <c r="F3" i="3" l="1"/>
  <c r="I3" i="3" s="1"/>
  <c r="F2" i="3"/>
  <c r="I2" i="3" s="1"/>
  <c r="C3" i="3"/>
  <c r="C2" i="3"/>
  <c r="J4" i="5" l="1"/>
  <c r="J20" i="5"/>
  <c r="J6" i="5"/>
  <c r="J22" i="5"/>
  <c r="J7" i="5"/>
  <c r="J8" i="5"/>
  <c r="J9" i="5"/>
  <c r="J28" i="5"/>
  <c r="J13" i="5"/>
  <c r="J14" i="5"/>
  <c r="J15" i="5"/>
  <c r="J18" i="5"/>
  <c r="J5" i="5"/>
  <c r="J21" i="5"/>
  <c r="J23" i="5"/>
  <c r="J24" i="5"/>
  <c r="J25" i="5"/>
  <c r="J16" i="5"/>
  <c r="J17" i="5"/>
  <c r="J10" i="5"/>
  <c r="J26" i="5"/>
  <c r="J11" i="5"/>
  <c r="J27" i="5"/>
  <c r="J12" i="5"/>
  <c r="J19" i="5"/>
  <c r="M4" i="5"/>
  <c r="M20" i="5"/>
  <c r="M5" i="5"/>
  <c r="M21" i="5"/>
  <c r="M23" i="5"/>
  <c r="M24" i="5"/>
  <c r="M9" i="5"/>
  <c r="M10" i="5"/>
  <c r="M27" i="5"/>
  <c r="M28" i="5"/>
  <c r="M13" i="5"/>
  <c r="M15" i="5"/>
  <c r="M16" i="5"/>
  <c r="M17" i="5"/>
  <c r="M6" i="5"/>
  <c r="M22" i="5"/>
  <c r="M7" i="5"/>
  <c r="M8" i="5"/>
  <c r="M25" i="5"/>
  <c r="M26" i="5"/>
  <c r="M11" i="5"/>
  <c r="M12" i="5"/>
  <c r="M14" i="5"/>
  <c r="M18" i="5"/>
  <c r="M19" i="5"/>
  <c r="L4" i="5"/>
  <c r="L20" i="5"/>
  <c r="L8" i="5"/>
  <c r="L11" i="5"/>
  <c r="L28" i="5"/>
  <c r="L14" i="5"/>
  <c r="L5" i="5"/>
  <c r="L21" i="5"/>
  <c r="L23" i="5"/>
  <c r="L26" i="5"/>
  <c r="L15" i="5"/>
  <c r="L16" i="5"/>
  <c r="L18" i="5"/>
  <c r="L6" i="5"/>
  <c r="L22" i="5"/>
  <c r="L24" i="5"/>
  <c r="L27" i="5"/>
  <c r="L12" i="5"/>
  <c r="L13" i="5"/>
  <c r="L17" i="5"/>
  <c r="L19" i="5"/>
  <c r="L7" i="5"/>
  <c r="L9" i="5"/>
  <c r="L25" i="5"/>
  <c r="L10" i="5"/>
  <c r="K4" i="5"/>
  <c r="K20" i="5"/>
  <c r="K5" i="5"/>
  <c r="K21" i="5"/>
  <c r="K6" i="5"/>
  <c r="K22" i="5"/>
  <c r="K7" i="5"/>
  <c r="K23" i="5"/>
  <c r="K8" i="5"/>
  <c r="K24" i="5"/>
  <c r="K9" i="5"/>
  <c r="K25" i="5"/>
  <c r="K14" i="5"/>
  <c r="K16" i="5"/>
  <c r="K17" i="5"/>
  <c r="K10" i="5"/>
  <c r="K26" i="5"/>
  <c r="K11" i="5"/>
  <c r="K27" i="5"/>
  <c r="K12" i="5"/>
  <c r="K28" i="5"/>
  <c r="K13" i="5"/>
  <c r="K15" i="5"/>
  <c r="K18" i="5"/>
  <c r="K19" i="5"/>
  <c r="I4" i="5"/>
  <c r="I20" i="5"/>
  <c r="I26" i="5"/>
  <c r="I27" i="5"/>
  <c r="I28" i="5"/>
  <c r="I5" i="5"/>
  <c r="I21" i="5"/>
  <c r="I7" i="5"/>
  <c r="I23" i="5"/>
  <c r="I8" i="5"/>
  <c r="I24" i="5"/>
  <c r="I9" i="5"/>
  <c r="I25" i="5"/>
  <c r="I10" i="5"/>
  <c r="I11" i="5"/>
  <c r="I12" i="5"/>
  <c r="I13" i="5"/>
  <c r="I14" i="5"/>
  <c r="I15" i="5"/>
  <c r="I16" i="5"/>
  <c r="I17" i="5"/>
  <c r="I18" i="5"/>
  <c r="I19" i="5"/>
  <c r="I6" i="5"/>
  <c r="I2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B8C3C-9499-40AF-8D07-F96572EC697B}" keepAlive="1" name="Query - Apple Data" description="Connection to the 'Apple Data' query in the workbook." type="5" refreshedVersion="8" background="1" saveData="1">
    <dbPr connection="Provider=Microsoft.Mashup.OleDb.1;Data Source=$Workbook$;Location=&quot;Apple Data&quot;;Extended Properties=&quot;&quot;" command="SELECT * FROM [Apple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<sst xmlns="http://schemas.openxmlformats.org/spreadsheetml/2006/main" count="661" uniqueCount="223">
  <si>
    <t>Sample Number</t>
  </si>
  <si>
    <t>Sample Size</t>
  </si>
  <si>
    <t>Number of Non Conforming Units</t>
  </si>
  <si>
    <t>Sample Fraction Non-Conforming Units</t>
  </si>
  <si>
    <t>Standard Deviation</t>
  </si>
  <si>
    <t>Upper Control Limit</t>
  </si>
  <si>
    <t>Lower Control Limit</t>
  </si>
  <si>
    <t>Centre line</t>
  </si>
  <si>
    <t>Year</t>
  </si>
  <si>
    <t>Value</t>
  </si>
  <si>
    <t>Matrice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</si>
  <si>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</si>
  <si>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</si>
  <si>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</si>
  <si>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</si>
  <si>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</si>
  <si>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</si>
  <si>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</si>
  <si>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</si>
  <si>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</si>
  <si>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</si>
  <si>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</si>
  <si>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</si>
  <si>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</si>
  <si>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</si>
  <si>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</si>
  <si>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Quick Ratio</t>
  </si>
  <si>
    <t>Current Ratio</t>
  </si>
  <si>
    <t>Asset Turnover</t>
  </si>
  <si>
    <t>Interest Coverage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</si>
  <si>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</si>
  <si>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</si>
  <si>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</si>
  <si>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</si>
  <si>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</si>
  <si>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</si>
  <si>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</si>
  <si>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</si>
  <si>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</si>
  <si>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Sum of Value</t>
  </si>
  <si>
    <t>Row Labels</t>
  </si>
  <si>
    <t>Grand Total</t>
  </si>
  <si>
    <t>Column Labels</t>
  </si>
  <si>
    <r>
      <t xml:space="preserve">One Tailed </t>
    </r>
    <r>
      <rPr>
        <sz val="12"/>
        <color theme="1"/>
        <rFont val="Times New Roman"/>
        <family val="1"/>
      </rPr>
      <t>α</t>
    </r>
  </si>
  <si>
    <t>Two Tailed α/2</t>
  </si>
  <si>
    <t>Inverse t-distribution</t>
  </si>
  <si>
    <t>Inverse Standard Normal distribution</t>
  </si>
  <si>
    <t>d.o.f</t>
  </si>
  <si>
    <t>Deer</t>
  </si>
  <si>
    <t>di</t>
  </si>
  <si>
    <t>At Time of Injection</t>
  </si>
  <si>
    <t>30 Minutes after Injection</t>
  </si>
  <si>
    <t>d-Bar</t>
  </si>
  <si>
    <t>Stdev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</si>
  <si>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</si>
  <si>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</si>
  <si>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</si>
  <si>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</si>
  <si>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</si>
  <si>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</si>
  <si>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</si>
  <si>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</si>
  <si>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</si>
  <si>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</si>
  <si>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</si>
  <si>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</si>
  <si>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</si>
  <si>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</si>
  <si>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</si>
  <si>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Subject</t>
  </si>
  <si>
    <t>Prefatigue</t>
  </si>
  <si>
    <t>Postfatigue</t>
  </si>
  <si>
    <r>
      <t>d</t>
    </r>
    <r>
      <rPr>
        <vertAlign val="subscript"/>
        <sz val="12"/>
        <color theme="1"/>
        <rFont val="Microsoft Yi Baiti"/>
        <family val="4"/>
      </rPr>
      <t>i</t>
    </r>
  </si>
  <si>
    <t>Average</t>
  </si>
  <si>
    <t>Std.s.</t>
  </si>
  <si>
    <t>t</t>
  </si>
  <si>
    <t>p-value</t>
  </si>
  <si>
    <t>Car</t>
  </si>
  <si>
    <t>Radial Tires</t>
  </si>
  <si>
    <t>Belted Tires</t>
  </si>
  <si>
    <r>
      <t>Avearage d</t>
    </r>
    <r>
      <rPr>
        <vertAlign val="subscript"/>
        <sz val="12"/>
        <color theme="1"/>
        <rFont val="Microsoft Yi Baiti"/>
        <family val="4"/>
      </rPr>
      <t>i</t>
    </r>
  </si>
  <si>
    <t>Stdev.s</t>
  </si>
  <si>
    <t>Statistic-t</t>
  </si>
  <si>
    <t>P-Value</t>
  </si>
  <si>
    <t>Defect</t>
  </si>
  <si>
    <t>Total</t>
  </si>
  <si>
    <t>TOTAL</t>
  </si>
  <si>
    <t>Parts damaged</t>
  </si>
  <si>
    <t>Machining problems</t>
  </si>
  <si>
    <t>Supplied parts rusted</t>
  </si>
  <si>
    <t>Masking insufficient</t>
  </si>
  <si>
    <t>Misaligned weld</t>
  </si>
  <si>
    <t>Processing out of order</t>
  </si>
  <si>
    <t>Wrong part issued</t>
  </si>
  <si>
    <t>Unfinished fairing</t>
  </si>
  <si>
    <t>Adhesive failure</t>
  </si>
  <si>
    <t>Powdery alodine</t>
  </si>
  <si>
    <t>Paint out of limits</t>
  </si>
  <si>
    <t>Paint damaged by etching</t>
  </si>
  <si>
    <t>Film on parts</t>
  </si>
  <si>
    <t>Primer cans damaged</t>
  </si>
  <si>
    <t>Voids in casting</t>
  </si>
  <si>
    <t>Delaminated composite</t>
  </si>
  <si>
    <t>Incorrect dimensions</t>
  </si>
  <si>
    <t>Improper test procedure</t>
  </si>
  <si>
    <t>Salt-spray failure</t>
  </si>
  <si>
    <t>S/No</t>
  </si>
  <si>
    <t>Wafer</t>
  </si>
  <si>
    <r>
      <t>¯x</t>
    </r>
    <r>
      <rPr>
        <vertAlign val="subscript"/>
        <sz val="12"/>
        <color theme="1"/>
        <rFont val="Microsoft Yi Baiti"/>
        <family val="4"/>
      </rPr>
      <t>i</t>
    </r>
  </si>
  <si>
    <r>
      <t>R</t>
    </r>
    <r>
      <rPr>
        <vertAlign val="subscript"/>
        <sz val="12"/>
        <color theme="1"/>
        <rFont val="Microsoft Yi Baiti"/>
        <family val="4"/>
      </rPr>
      <t>i</t>
    </r>
  </si>
  <si>
    <t>1</t>
  </si>
  <si>
    <t>2</t>
  </si>
  <si>
    <t>3</t>
  </si>
  <si>
    <t>4</t>
  </si>
  <si>
    <t>5</t>
  </si>
  <si>
    <t>Grand Mean</t>
  </si>
  <si>
    <t>Average Range</t>
  </si>
  <si>
    <t>UCL</t>
  </si>
  <si>
    <t>LCL</t>
  </si>
  <si>
    <t>A2</t>
  </si>
  <si>
    <t>D3</t>
  </si>
  <si>
    <t>D4</t>
  </si>
  <si>
    <t>UCLr</t>
  </si>
  <si>
    <t>LCLr</t>
  </si>
  <si>
    <t>r-Bar</t>
  </si>
  <si>
    <t>No Nitrogen</t>
  </si>
  <si>
    <t xml:space="preserve"> Nitrogen</t>
  </si>
  <si>
    <t>F-Test Two-Sample for Variances</t>
  </si>
  <si>
    <t>F</t>
  </si>
  <si>
    <t>P(F&lt;=f) one-tail</t>
  </si>
  <si>
    <t>F Critical one-tail</t>
  </si>
  <si>
    <t>critical</t>
  </si>
  <si>
    <t>Instrument A</t>
  </si>
  <si>
    <t>Instrument B</t>
  </si>
  <si>
    <t>F-Statistic</t>
  </si>
  <si>
    <t>Lower Critical</t>
  </si>
  <si>
    <t>Upper Critical</t>
  </si>
  <si>
    <t>P-value</t>
  </si>
  <si>
    <t>Ultracell</t>
  </si>
  <si>
    <t>Energizer</t>
  </si>
  <si>
    <t>Stdev.s (s)</t>
  </si>
  <si>
    <r>
      <t>Variance (s</t>
    </r>
    <r>
      <rPr>
        <vertAlign val="superscript"/>
        <sz val="12"/>
        <color theme="1"/>
        <rFont val="Microsoft Yi Baiti"/>
        <family val="4"/>
      </rPr>
      <t>2</t>
    </r>
    <r>
      <rPr>
        <sz val="12"/>
        <color theme="1"/>
        <rFont val="Microsoft Yi Baiti"/>
        <family val="2"/>
      </rPr>
      <t>)</t>
    </r>
  </si>
  <si>
    <t>Ar</t>
  </si>
  <si>
    <r>
      <t>A</t>
    </r>
    <r>
      <rPr>
        <vertAlign val="subscript"/>
        <sz val="12"/>
        <color theme="1"/>
        <rFont val="Microsoft Yi Baiti"/>
        <family val="4"/>
      </rPr>
      <t>r</t>
    </r>
  </si>
  <si>
    <r>
      <t>A</t>
    </r>
    <r>
      <rPr>
        <vertAlign val="subscript"/>
        <sz val="12"/>
        <color theme="1"/>
        <rFont val="Microsoft Yi Baiti"/>
        <family val="4"/>
      </rPr>
      <t>l</t>
    </r>
  </si>
  <si>
    <t>Conventional</t>
  </si>
  <si>
    <t>Perforated</t>
  </si>
  <si>
    <t>Worker</t>
  </si>
  <si>
    <t>Stdec.s</t>
  </si>
  <si>
    <t>Satterwaiter d.o.f</t>
  </si>
  <si>
    <t>Sandstone</t>
  </si>
  <si>
    <t>Shale</t>
  </si>
  <si>
    <t>S.Numerator</t>
  </si>
  <si>
    <t>S.Denomerator</t>
  </si>
  <si>
    <t>Mean difference</t>
  </si>
  <si>
    <t>t-Critical</t>
  </si>
  <si>
    <t>Lower Limit</t>
  </si>
  <si>
    <t>Confidence Interval</t>
  </si>
  <si>
    <t>Upper Limit</t>
  </si>
  <si>
    <t>f-Statistic</t>
  </si>
  <si>
    <t>AL</t>
  </si>
  <si>
    <t>Bounderies</t>
  </si>
  <si>
    <t>Observed</t>
  </si>
  <si>
    <t>Expected</t>
  </si>
  <si>
    <t>Recombing the groups</t>
  </si>
  <si>
    <r>
      <t>X</t>
    </r>
    <r>
      <rPr>
        <vertAlign val="superscript"/>
        <sz val="12"/>
        <color theme="1"/>
        <rFont val="Microsoft Yi Baiti"/>
        <family val="4"/>
      </rPr>
      <t>2</t>
    </r>
  </si>
  <si>
    <t>(o-e)^2/e</t>
  </si>
  <si>
    <t xml:space="preserve">Alloy A </t>
  </si>
  <si>
    <t>Alloy B</t>
  </si>
  <si>
    <t>Rank1</t>
  </si>
  <si>
    <t>Percentile</t>
  </si>
  <si>
    <t>Rank B</t>
  </si>
  <si>
    <t xml:space="preserve">Z-Quartile </t>
  </si>
  <si>
    <t>Z-Quartile</t>
  </si>
  <si>
    <r>
      <t>Significance Level (</t>
    </r>
    <r>
      <rPr>
        <sz val="12"/>
        <color theme="1"/>
        <rFont val="Times New Roman"/>
        <family val="1"/>
      </rPr>
      <t>α</t>
    </r>
    <r>
      <rPr>
        <sz val="12"/>
        <color theme="1"/>
        <rFont val="Microsoft Yi Baiti"/>
        <family val="2"/>
      </rPr>
      <t>)</t>
    </r>
  </si>
  <si>
    <r>
      <t>σ</t>
    </r>
    <r>
      <rPr>
        <vertAlign val="subscript"/>
        <sz val="12"/>
        <color theme="1"/>
        <rFont val="Microsoft Yi Baiti"/>
        <family val="4"/>
      </rPr>
      <t>1</t>
    </r>
    <r>
      <rPr>
        <sz val="12"/>
        <color theme="1"/>
        <rFont val="Microsoft Yi Baiti"/>
        <family val="2"/>
      </rPr>
      <t>=σ</t>
    </r>
    <r>
      <rPr>
        <vertAlign val="subscript"/>
        <sz val="12"/>
        <color theme="1"/>
        <rFont val="Microsoft Yi Baiti"/>
        <family val="4"/>
      </rPr>
      <t>2</t>
    </r>
  </si>
  <si>
    <r>
      <t>σ</t>
    </r>
    <r>
      <rPr>
        <vertAlign val="subscript"/>
        <sz val="12"/>
        <color theme="1"/>
        <rFont val="Microsoft Yi Baiti"/>
        <family val="4"/>
      </rPr>
      <t>1</t>
    </r>
    <r>
      <rPr>
        <sz val="12"/>
        <color theme="1"/>
        <rFont val="Microsoft Yi Baiti"/>
        <family val="2"/>
      </rPr>
      <t>≠σ</t>
    </r>
    <r>
      <rPr>
        <vertAlign val="subscript"/>
        <sz val="12"/>
        <color theme="1"/>
        <rFont val="Microsoft Yi Baiti"/>
        <family val="4"/>
      </rPr>
      <t>2</t>
    </r>
  </si>
  <si>
    <r>
      <t>H</t>
    </r>
    <r>
      <rPr>
        <vertAlign val="subscript"/>
        <sz val="12"/>
        <color theme="1"/>
        <rFont val="Microsoft Yi Baiti"/>
        <family val="4"/>
      </rPr>
      <t>o</t>
    </r>
  </si>
  <si>
    <r>
      <t>H</t>
    </r>
    <r>
      <rPr>
        <vertAlign val="subscript"/>
        <sz val="12"/>
        <color theme="1"/>
        <rFont val="Microsoft Yi Baiti"/>
        <family val="4"/>
      </rPr>
      <t>a</t>
    </r>
  </si>
  <si>
    <t>Not sufficient evidence to reject the null hypothesis</t>
  </si>
  <si>
    <t>t-Test: Two-Sample Assuming Equal Variances</t>
  </si>
  <si>
    <t>Pooled Variance</t>
  </si>
  <si>
    <r>
      <t>μ</t>
    </r>
    <r>
      <rPr>
        <vertAlign val="subscript"/>
        <sz val="12"/>
        <color theme="1"/>
        <rFont val="Microsoft Yi Baiti"/>
        <family val="4"/>
      </rPr>
      <t>1</t>
    </r>
    <r>
      <rPr>
        <sz val="12"/>
        <color theme="1"/>
        <rFont val="Microsoft Yi Baiti"/>
        <family val="2"/>
      </rPr>
      <t>=μ</t>
    </r>
    <r>
      <rPr>
        <vertAlign val="subscript"/>
        <sz val="12"/>
        <color theme="1"/>
        <rFont val="Microsoft Yi Baiti"/>
        <family val="4"/>
      </rPr>
      <t>2</t>
    </r>
  </si>
  <si>
    <t>μ1≠μ2</t>
  </si>
  <si>
    <t>Reject null Hypothesis</t>
  </si>
  <si>
    <t>Solids Reduction, x (%)</t>
  </si>
  <si>
    <t>Oxygen Demand Reduction, y (%)</t>
  </si>
  <si>
    <t>Mean X</t>
  </si>
  <si>
    <t>Mean Y</t>
  </si>
  <si>
    <t>x-x-bar</t>
  </si>
  <si>
    <t>Y-Y_bar</t>
  </si>
  <si>
    <r>
      <t>b</t>
    </r>
    <r>
      <rPr>
        <vertAlign val="subscript"/>
        <sz val="12"/>
        <color theme="1"/>
        <rFont val="Microsoft Yi Baiti"/>
        <family val="4"/>
      </rPr>
      <t>1</t>
    </r>
  </si>
  <si>
    <r>
      <t>b</t>
    </r>
    <r>
      <rPr>
        <vertAlign val="subscript"/>
        <sz val="12"/>
        <color theme="1"/>
        <rFont val="Microsoft Yi Baiti"/>
        <family val="4"/>
      </rPr>
      <t>0</t>
    </r>
  </si>
  <si>
    <t>Individual</t>
  </si>
  <si>
    <t>Arm Strength (x)</t>
  </si>
  <si>
    <t>Dynamic Lift (y)</t>
  </si>
  <si>
    <t>Average (x)</t>
  </si>
  <si>
    <t>Average (y)</t>
  </si>
  <si>
    <r>
      <t>x</t>
    </r>
    <r>
      <rPr>
        <vertAlign val="subscript"/>
        <sz val="12"/>
        <color theme="1"/>
        <rFont val="Microsoft Yi Baiti"/>
        <family val="4"/>
      </rPr>
      <t>i</t>
    </r>
    <r>
      <rPr>
        <sz val="12"/>
        <color theme="1"/>
        <rFont val="Microsoft Yi Baiti"/>
        <family val="2"/>
      </rPr>
      <t>-x</t>
    </r>
    <r>
      <rPr>
        <vertAlign val="subscript"/>
        <sz val="12"/>
        <color theme="1"/>
        <rFont val="Microsoft Yi Baiti"/>
        <family val="4"/>
      </rPr>
      <t>bar</t>
    </r>
  </si>
  <si>
    <r>
      <t>y</t>
    </r>
    <r>
      <rPr>
        <vertAlign val="subscript"/>
        <sz val="12"/>
        <color theme="1"/>
        <rFont val="Microsoft Yi Baiti"/>
        <family val="4"/>
      </rPr>
      <t>i</t>
    </r>
    <r>
      <rPr>
        <sz val="12"/>
        <color theme="1"/>
        <rFont val="Microsoft Yi Baiti"/>
        <family val="2"/>
      </rPr>
      <t>-y</t>
    </r>
    <r>
      <rPr>
        <vertAlign val="subscript"/>
        <sz val="12"/>
        <color theme="1"/>
        <rFont val="Microsoft Yi Baiti"/>
        <family val="4"/>
      </rPr>
      <t>bar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</si>
  <si>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</si>
  <si>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</si>
  <si>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</si>
  <si>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</si>
  <si>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</si>
  <si>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</si>
  <si>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</si>
  <si>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</si>
  <si>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</si>
  <si>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Intercept</t>
  </si>
  <si>
    <t>SS</t>
  </si>
  <si>
    <t>MS</t>
  </si>
  <si>
    <t>Significance F</t>
  </si>
  <si>
    <t>Coefficients</t>
  </si>
  <si>
    <t>Lower 95%</t>
  </si>
  <si>
    <t>Upper 95%</t>
  </si>
  <si>
    <t>Lower 95.0%</t>
  </si>
  <si>
    <t>Upper 95.0%</t>
  </si>
  <si>
    <t>PROBABILITY OUTPUT</t>
  </si>
  <si>
    <t>RESIDUAL OUTPUT</t>
  </si>
  <si>
    <t>Observation</t>
  </si>
  <si>
    <t>Predicted Oxygen Demand Reduction, y (%)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</si>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</sst>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Microsoft Yi Baiti"/>
      <family val="2"/>
    </font>
    <font>
      <b/>
      <sz val="12"/>
      <color theme="1"/>
      <name val="Microsoft Yi Baiti"/>
      <family val="2"/>
    </font>
    <font>
      <sz val="12"/>
      <color theme="1"/>
      <name val="Times New Roman"/>
      <family val="1"/>
    </font>
    <font>
      <sz val="10"/>
      <color theme="1"/>
      <name val="Century Gothic"/>
      <family val="2"/>
    </font>
    <font>
      <i/>
      <sz val="12"/>
      <color theme="1"/>
      <name val="Microsoft Yi Baiti"/>
      <family val="2"/>
    </font>
    <font>
      <vertAlign val="subscript"/>
      <sz val="12"/>
      <color theme="1"/>
      <name val="Microsoft Yi Baiti"/>
      <family val="4"/>
    </font>
    <font>
      <b/>
      <sz val="12"/>
      <color theme="0"/>
      <name val="Microsoft Yi Baiti"/>
      <family val="2"/>
    </font>
    <font>
      <b/>
      <sz val="12"/>
      <color theme="1"/>
      <name val="Calibri"/>
      <family val="2"/>
    </font>
    <font>
      <vertAlign val="superscript"/>
      <sz val="12"/>
      <color theme="1"/>
      <name val="Microsoft Yi Baiti"/>
      <family val="4"/>
    </font>
    <font>
      <i/>
      <sz val="12"/>
      <color theme="1"/>
      <name val="Microsoft Yi Baiti"/>
      <family val="4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3" borderId="2" xfId="0" applyFont="1" applyFill="1" applyBorder="1"/>
    <xf numFmtId="0" fontId="0" fillId="4" borderId="3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0" xfId="0" applyFill="1" applyAlignment="1">
      <alignment horizontal="center"/>
    </xf>
    <xf numFmtId="0" fontId="0" fillId="4" borderId="4" xfId="0" applyFill="1" applyBorder="1"/>
    <xf numFmtId="0" fontId="3" fillId="4" borderId="1" xfId="0" applyFont="1" applyFill="1" applyBorder="1" applyAlignment="1">
      <alignment horizontal="center" vertical="top" wrapText="1"/>
    </xf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4" borderId="1" xfId="0" applyFill="1" applyBorder="1"/>
    <xf numFmtId="0" fontId="0" fillId="2" borderId="0" xfId="0" applyFill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0" borderId="16" xfId="0" applyBorder="1"/>
    <xf numFmtId="0" fontId="0" fillId="0" borderId="17" xfId="0" applyBorder="1"/>
    <xf numFmtId="0" fontId="0" fillId="7" borderId="18" xfId="0" applyFill="1" applyBorder="1"/>
    <xf numFmtId="0" fontId="0" fillId="7" borderId="19" xfId="0" applyFill="1" applyBorder="1"/>
    <xf numFmtId="0" fontId="0" fillId="7" borderId="12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49" fontId="0" fillId="0" borderId="0" xfId="0" applyNumberFormat="1"/>
    <xf numFmtId="0" fontId="6" fillId="4" borderId="14" xfId="0" applyFont="1" applyFill="1" applyBorder="1" applyAlignment="1">
      <alignment horizontal="center" wrapText="1"/>
    </xf>
    <xf numFmtId="0" fontId="6" fillId="4" borderId="15" xfId="0" applyFont="1" applyFill="1" applyBorder="1"/>
    <xf numFmtId="0" fontId="0" fillId="8" borderId="1" xfId="0" applyFill="1" applyBorder="1" applyAlignment="1">
      <alignment horizontal="center"/>
    </xf>
    <xf numFmtId="0" fontId="0" fillId="9" borderId="0" xfId="0" applyFill="1"/>
    <xf numFmtId="0" fontId="0" fillId="9" borderId="1" xfId="0" applyFill="1" applyBorder="1"/>
    <xf numFmtId="0" fontId="9" fillId="0" borderId="13" xfId="0" applyFont="1" applyBorder="1"/>
    <xf numFmtId="0" fontId="0" fillId="0" borderId="0" xfId="0" applyAlignment="1">
      <alignment horizontal="right"/>
    </xf>
    <xf numFmtId="0" fontId="4" fillId="0" borderId="13" xfId="0" applyFont="1" applyBorder="1" applyAlignment="1">
      <alignment horizontal="centerContinuous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auto="1"/>
        </bottom>
      </border>
    </dxf>
    <dxf>
      <fill>
        <patternFill patternType="solid">
          <fgColor indexed="64"/>
          <bgColor theme="3" tint="0.59999389629810485"/>
        </patternFill>
      </fill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 Financial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0'!$H$16</c:f>
              <c:strCache>
                <c:ptCount val="1"/>
                <c:pt idx="0">
                  <c:v>Enterprise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0'!$G$17:$G$26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xVal>
          <c:yVal>
            <c:numRef>
              <c:f>'Table 0'!$H$17:$H$26</c:f>
              <c:numCache>
                <c:formatCode>General</c:formatCode>
                <c:ptCount val="10"/>
                <c:pt idx="0">
                  <c:v>483334</c:v>
                </c:pt>
                <c:pt idx="1">
                  <c:v>512821</c:v>
                </c:pt>
                <c:pt idx="2">
                  <c:v>456778</c:v>
                </c:pt>
                <c:pt idx="3">
                  <c:v>642850</c:v>
                </c:pt>
                <c:pt idx="4">
                  <c:v>967690</c:v>
                </c:pt>
                <c:pt idx="5">
                  <c:v>891036</c:v>
                </c:pt>
                <c:pt idx="6">
                  <c:v>1840879</c:v>
                </c:pt>
                <c:pt idx="7">
                  <c:v>2362815</c:v>
                </c:pt>
                <c:pt idx="8">
                  <c:v>2368483</c:v>
                </c:pt>
                <c:pt idx="9">
                  <c:v>2625726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A-45C6-8458-AA7F0C9D2C82}"/>
            </c:ext>
          </c:extLst>
        </c:ser>
        <c:ser>
          <c:idx val="2"/>
          <c:order val="1"/>
          <c:tx>
            <c:strRef>
              <c:f>'Table 0'!$J$16</c:f>
              <c:strCache>
                <c:ptCount val="1"/>
                <c:pt idx="0">
                  <c:v>Market Capitalization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0'!$G$17:$G$26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xVal>
          <c:yVal>
            <c:numRef>
              <c:f>'Table 0'!$J$17:$J$26</c:f>
              <c:numCache>
                <c:formatCode>General</c:formatCode>
                <c:ptCount val="10"/>
                <c:pt idx="0">
                  <c:v>603278</c:v>
                </c:pt>
                <c:pt idx="1">
                  <c:v>654159</c:v>
                </c:pt>
                <c:pt idx="2">
                  <c:v>607331</c:v>
                </c:pt>
                <c:pt idx="3">
                  <c:v>796065</c:v>
                </c:pt>
                <c:pt idx="4">
                  <c:v>1090307</c:v>
                </c:pt>
                <c:pt idx="5">
                  <c:v>988887</c:v>
                </c:pt>
                <c:pt idx="6">
                  <c:v>1920273</c:v>
                </c:pt>
                <c:pt idx="7">
                  <c:v>2428612</c:v>
                </c:pt>
                <c:pt idx="8">
                  <c:v>2417523</c:v>
                </c:pt>
                <c:pt idx="9">
                  <c:v>2676737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EA-45C6-8458-AA7F0C9D2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86847"/>
        <c:axId val="2013302895"/>
      </c:scatterChart>
      <c:scatterChart>
        <c:scatterStyle val="lineMarker"/>
        <c:varyColors val="0"/>
        <c:ser>
          <c:idx val="3"/>
          <c:order val="2"/>
          <c:tx>
            <c:strRef>
              <c:f>'Table 0'!$K$16</c:f>
              <c:strCache>
                <c:ptCount val="1"/>
                <c:pt idx="0">
                  <c:v>Payout Ratio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0'!$G$17:$G$26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xVal>
          <c:yVal>
            <c:numRef>
              <c:f>'Table 0'!$K$17:$K$26</c:f>
              <c:numCache>
                <c:formatCode>General</c:formatCode>
                <c:ptCount val="10"/>
                <c:pt idx="0">
                  <c:v>0.27900000000000003</c:v>
                </c:pt>
                <c:pt idx="1">
                  <c:v>0.21299999999999999</c:v>
                </c:pt>
                <c:pt idx="2">
                  <c:v>0.26100000000000001</c:v>
                </c:pt>
                <c:pt idx="3">
                  <c:v>0.25900000000000001</c:v>
                </c:pt>
                <c:pt idx="4">
                  <c:v>0.22700000000000001</c:v>
                </c:pt>
                <c:pt idx="5">
                  <c:v>0.251</c:v>
                </c:pt>
                <c:pt idx="6">
                  <c:v>0.24</c:v>
                </c:pt>
                <c:pt idx="7">
                  <c:v>0.15</c:v>
                </c:pt>
                <c:pt idx="8">
                  <c:v>0.14599999999999999</c:v>
                </c:pt>
                <c:pt idx="9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EA-45C6-8458-AA7F0C9D2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60943"/>
        <c:axId val="699263919"/>
      </c:scatterChart>
      <c:valAx>
        <c:axId val="4218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013302895"/>
        <c:crosses val="autoZero"/>
        <c:crossBetween val="midCat"/>
      </c:valAx>
      <c:valAx>
        <c:axId val="201330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2186847"/>
        <c:crosses val="autoZero"/>
        <c:crossBetween val="midCat"/>
      </c:valAx>
      <c:valAx>
        <c:axId val="6992639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99260943"/>
        <c:crosses val="max"/>
        <c:crossBetween val="midCat"/>
      </c:valAx>
      <c:valAx>
        <c:axId val="699260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9263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 Chart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>
        <c:manualLayout>
          <c:layoutTarget val="inner"/>
          <c:xMode val="edge"/>
          <c:yMode val="edge"/>
          <c:x val="6.4827160553164453E-2"/>
          <c:y val="0.10969217238346526"/>
          <c:w val="0.90042875969758862"/>
          <c:h val="0.77653719273617117"/>
        </c:manualLayout>
      </c:layout>
      <c:scatterChart>
        <c:scatterStyle val="lineMarker"/>
        <c:varyColors val="0"/>
        <c:ser>
          <c:idx val="0"/>
          <c:order val="0"/>
          <c:tx>
            <c:v>Trend 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Sheet1!$E$2:$E$26</c:f>
              <c:numCache>
                <c:formatCode>General</c:formatCode>
                <c:ptCount val="25"/>
                <c:pt idx="0">
                  <c:v>0.12</c:v>
                </c:pt>
                <c:pt idx="1">
                  <c:v>0.1</c:v>
                </c:pt>
                <c:pt idx="2">
                  <c:v>7.4999999999999997E-2</c:v>
                </c:pt>
                <c:pt idx="3">
                  <c:v>0.09</c:v>
                </c:pt>
                <c:pt idx="4">
                  <c:v>9.0999999999999998E-2</c:v>
                </c:pt>
                <c:pt idx="5">
                  <c:v>0.109</c:v>
                </c:pt>
                <c:pt idx="6">
                  <c:v>0.11</c:v>
                </c:pt>
                <c:pt idx="7">
                  <c:v>0.16</c:v>
                </c:pt>
                <c:pt idx="8">
                  <c:v>0.11</c:v>
                </c:pt>
                <c:pt idx="9">
                  <c:v>6.7000000000000004E-2</c:v>
                </c:pt>
                <c:pt idx="10">
                  <c:v>0.182</c:v>
                </c:pt>
                <c:pt idx="11">
                  <c:v>0.125</c:v>
                </c:pt>
                <c:pt idx="12">
                  <c:v>7.4999999999999997E-2</c:v>
                </c:pt>
                <c:pt idx="13">
                  <c:v>6.7000000000000004E-2</c:v>
                </c:pt>
                <c:pt idx="14">
                  <c:v>5.5E-2</c:v>
                </c:pt>
                <c:pt idx="15">
                  <c:v>0.1</c:v>
                </c:pt>
                <c:pt idx="16">
                  <c:v>0.125</c:v>
                </c:pt>
                <c:pt idx="17">
                  <c:v>8.7999999999999995E-2</c:v>
                </c:pt>
                <c:pt idx="18">
                  <c:v>5.6000000000000001E-2</c:v>
                </c:pt>
                <c:pt idx="19">
                  <c:v>0.08</c:v>
                </c:pt>
                <c:pt idx="20">
                  <c:v>0.05</c:v>
                </c:pt>
                <c:pt idx="21">
                  <c:v>0.08</c:v>
                </c:pt>
                <c:pt idx="22">
                  <c:v>0.1</c:v>
                </c:pt>
                <c:pt idx="23">
                  <c:v>6.7000000000000004E-2</c:v>
                </c:pt>
                <c:pt idx="2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6-4FCA-8358-C973AD2A4F63}"/>
            </c:ext>
          </c:extLst>
        </c:ser>
        <c:ser>
          <c:idx val="1"/>
          <c:order val="1"/>
          <c:tx>
            <c:v>CL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Sheet1!$I$2:$I$26</c:f>
              <c:numCache>
                <c:formatCode>General</c:formatCode>
                <c:ptCount val="25"/>
                <c:pt idx="0">
                  <c:v>9.6000000000000002E-2</c:v>
                </c:pt>
                <c:pt idx="1">
                  <c:v>9.6000000000000002E-2</c:v>
                </c:pt>
                <c:pt idx="2">
                  <c:v>9.6000000000000002E-2</c:v>
                </c:pt>
                <c:pt idx="3">
                  <c:v>9.6000000000000002E-2</c:v>
                </c:pt>
                <c:pt idx="4">
                  <c:v>9.6000000000000002E-2</c:v>
                </c:pt>
                <c:pt idx="5">
                  <c:v>9.6000000000000002E-2</c:v>
                </c:pt>
                <c:pt idx="6">
                  <c:v>9.6000000000000002E-2</c:v>
                </c:pt>
                <c:pt idx="7">
                  <c:v>9.6000000000000002E-2</c:v>
                </c:pt>
                <c:pt idx="8">
                  <c:v>9.6000000000000002E-2</c:v>
                </c:pt>
                <c:pt idx="9">
                  <c:v>9.6000000000000002E-2</c:v>
                </c:pt>
                <c:pt idx="10">
                  <c:v>9.6000000000000002E-2</c:v>
                </c:pt>
                <c:pt idx="11">
                  <c:v>9.6000000000000002E-2</c:v>
                </c:pt>
                <c:pt idx="12">
                  <c:v>9.6000000000000002E-2</c:v>
                </c:pt>
                <c:pt idx="13">
                  <c:v>9.6000000000000002E-2</c:v>
                </c:pt>
                <c:pt idx="14">
                  <c:v>9.6000000000000002E-2</c:v>
                </c:pt>
                <c:pt idx="15">
                  <c:v>9.6000000000000002E-2</c:v>
                </c:pt>
                <c:pt idx="16">
                  <c:v>9.6000000000000002E-2</c:v>
                </c:pt>
                <c:pt idx="17">
                  <c:v>9.6000000000000002E-2</c:v>
                </c:pt>
                <c:pt idx="18">
                  <c:v>9.6000000000000002E-2</c:v>
                </c:pt>
                <c:pt idx="19">
                  <c:v>9.6000000000000002E-2</c:v>
                </c:pt>
                <c:pt idx="20">
                  <c:v>9.6000000000000002E-2</c:v>
                </c:pt>
                <c:pt idx="21">
                  <c:v>9.6000000000000002E-2</c:v>
                </c:pt>
                <c:pt idx="22">
                  <c:v>9.6000000000000002E-2</c:v>
                </c:pt>
                <c:pt idx="23">
                  <c:v>9.6000000000000002E-2</c:v>
                </c:pt>
                <c:pt idx="24">
                  <c:v>9.6000000000000002E-2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F6-4FCA-8358-C973AD2A4F63}"/>
            </c:ext>
          </c:extLst>
        </c:ser>
        <c:ser>
          <c:idx val="2"/>
          <c:order val="2"/>
          <c:tx>
            <c:v>LCL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Sheet1!$G$2:$G$26</c:f>
              <c:numCache>
                <c:formatCode>General</c:formatCode>
                <c:ptCount val="25"/>
                <c:pt idx="0">
                  <c:v>8.9999999999999993E-3</c:v>
                </c:pt>
                <c:pt idx="1">
                  <c:v>0</c:v>
                </c:pt>
                <c:pt idx="2">
                  <c:v>0</c:v>
                </c:pt>
                <c:pt idx="3">
                  <c:v>8.9999999999999993E-3</c:v>
                </c:pt>
                <c:pt idx="4">
                  <c:v>1.2E-2</c:v>
                </c:pt>
                <c:pt idx="5">
                  <c:v>1.2E-2</c:v>
                </c:pt>
                <c:pt idx="6">
                  <c:v>8.9999999999999993E-3</c:v>
                </c:pt>
                <c:pt idx="7">
                  <c:v>8.9999999999999993E-3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1.2E-2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1.2E-2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3.0000000000000001E-3</c:v>
                </c:pt>
                <c:pt idx="19">
                  <c:v>8.9999999999999993E-3</c:v>
                </c:pt>
                <c:pt idx="20">
                  <c:v>8.9999999999999993E-3</c:v>
                </c:pt>
                <c:pt idx="21">
                  <c:v>8.9999999999999993E-3</c:v>
                </c:pt>
                <c:pt idx="22">
                  <c:v>8.9999999999999993E-3</c:v>
                </c:pt>
                <c:pt idx="23">
                  <c:v>3.0000000000000001E-3</c:v>
                </c:pt>
                <c:pt idx="24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F6-4FCA-8358-C973AD2A4F63}"/>
            </c:ext>
          </c:extLst>
        </c:ser>
        <c:ser>
          <c:idx val="3"/>
          <c:order val="3"/>
          <c:tx>
            <c:v>UCL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Sheet1!$H$2:$H$26</c:f>
              <c:numCache>
                <c:formatCode>General</c:formatCode>
                <c:ptCount val="25"/>
                <c:pt idx="0">
                  <c:v>0.183</c:v>
                </c:pt>
                <c:pt idx="1">
                  <c:v>0.19500000000000001</c:v>
                </c:pt>
                <c:pt idx="2">
                  <c:v>0.19500000000000001</c:v>
                </c:pt>
                <c:pt idx="3">
                  <c:v>0.183</c:v>
                </c:pt>
                <c:pt idx="4">
                  <c:v>0.18</c:v>
                </c:pt>
                <c:pt idx="5">
                  <c:v>0.18</c:v>
                </c:pt>
                <c:pt idx="6">
                  <c:v>0.183</c:v>
                </c:pt>
                <c:pt idx="7">
                  <c:v>0.183</c:v>
                </c:pt>
                <c:pt idx="8">
                  <c:v>0.189</c:v>
                </c:pt>
                <c:pt idx="9">
                  <c:v>0.189</c:v>
                </c:pt>
                <c:pt idx="10">
                  <c:v>0.18</c:v>
                </c:pt>
                <c:pt idx="11">
                  <c:v>0.17699999999999999</c:v>
                </c:pt>
                <c:pt idx="12">
                  <c:v>0.17699999999999999</c:v>
                </c:pt>
                <c:pt idx="13">
                  <c:v>0.17699999999999999</c:v>
                </c:pt>
                <c:pt idx="14">
                  <c:v>0.18</c:v>
                </c:pt>
                <c:pt idx="15">
                  <c:v>0.19500000000000001</c:v>
                </c:pt>
                <c:pt idx="16">
                  <c:v>0.19500000000000001</c:v>
                </c:pt>
                <c:pt idx="17">
                  <c:v>0.19500000000000001</c:v>
                </c:pt>
                <c:pt idx="18">
                  <c:v>0.189</c:v>
                </c:pt>
                <c:pt idx="19">
                  <c:v>0.183</c:v>
                </c:pt>
                <c:pt idx="20">
                  <c:v>0.183</c:v>
                </c:pt>
                <c:pt idx="21">
                  <c:v>0.183</c:v>
                </c:pt>
                <c:pt idx="22">
                  <c:v>0.183</c:v>
                </c:pt>
                <c:pt idx="23">
                  <c:v>0.189</c:v>
                </c:pt>
                <c:pt idx="24">
                  <c:v>0.189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F6-4FCA-8358-C973AD2A4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8607"/>
        <c:axId val="480786719"/>
      </c:scatterChart>
      <c:valAx>
        <c:axId val="663408607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80786719"/>
        <c:crosses val="autoZero"/>
        <c:crossBetween val="midCat"/>
        <c:majorUnit val="1"/>
      </c:valAx>
      <c:valAx>
        <c:axId val="480786719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63408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16973137544305"/>
          <c:y val="0.94573246510949527"/>
          <c:w val="0.37589432620118052"/>
          <c:h val="5.0958542951940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Plot Alloy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Probability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FF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3334864391951013E-2"/>
                  <c:y val="0.258842592592592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Sheet5!$L$5:$L$24</c:f>
              <c:numCache>
                <c:formatCode>General</c:formatCode>
                <c:ptCount val="20"/>
                <c:pt idx="0">
                  <c:v>1.0364333894937898</c:v>
                </c:pt>
                <c:pt idx="1">
                  <c:v>-1.2815515655446006</c:v>
                </c:pt>
                <c:pt idx="2">
                  <c:v>0.18911842627279243</c:v>
                </c:pt>
                <c:pt idx="3">
                  <c:v>1.4395314709384563</c:v>
                </c:pt>
                <c:pt idx="4">
                  <c:v>-0.52440051270804089</c:v>
                </c:pt>
                <c:pt idx="5">
                  <c:v>0</c:v>
                </c:pt>
                <c:pt idx="6">
                  <c:v>-0.25334710313579978</c:v>
                </c:pt>
                <c:pt idx="7">
                  <c:v>-1.2815515655446006</c:v>
                </c:pt>
                <c:pt idx="8">
                  <c:v>-0.25334710313579978</c:v>
                </c:pt>
                <c:pt idx="9">
                  <c:v>0.38532046640756784</c:v>
                </c:pt>
                <c:pt idx="10">
                  <c:v>1.0364333894937898</c:v>
                </c:pt>
                <c:pt idx="11">
                  <c:v>-0.84162123357291452</c:v>
                </c:pt>
                <c:pt idx="12">
                  <c:v>0.38532046640756784</c:v>
                </c:pt>
                <c:pt idx="13">
                  <c:v>0.67448975019608193</c:v>
                </c:pt>
                <c:pt idx="14">
                  <c:v>-0.84162123357291452</c:v>
                </c:pt>
                <c:pt idx="15">
                  <c:v>-1.9599639845400538</c:v>
                </c:pt>
                <c:pt idx="16">
                  <c:v>0.67448975019608193</c:v>
                </c:pt>
                <c:pt idx="17">
                  <c:v>1.9599639845400536</c:v>
                </c:pt>
                <c:pt idx="18">
                  <c:v>0</c:v>
                </c:pt>
                <c:pt idx="19">
                  <c:v>-0.52440051270804089</c:v>
                </c:pt>
              </c:numCache>
            </c:numRef>
          </c:xVal>
          <c:yVal>
            <c:numRef>
              <c:f>Sheet5!$I$5:$I$24</c:f>
              <c:numCache>
                <c:formatCode>General</c:formatCode>
                <c:ptCount val="20"/>
                <c:pt idx="0">
                  <c:v>88</c:v>
                </c:pt>
                <c:pt idx="1">
                  <c:v>79</c:v>
                </c:pt>
                <c:pt idx="2">
                  <c:v>84</c:v>
                </c:pt>
                <c:pt idx="3">
                  <c:v>89</c:v>
                </c:pt>
                <c:pt idx="4">
                  <c:v>81</c:v>
                </c:pt>
                <c:pt idx="5">
                  <c:v>83</c:v>
                </c:pt>
                <c:pt idx="6">
                  <c:v>82</c:v>
                </c:pt>
                <c:pt idx="7">
                  <c:v>79</c:v>
                </c:pt>
                <c:pt idx="8">
                  <c:v>82</c:v>
                </c:pt>
                <c:pt idx="9">
                  <c:v>85</c:v>
                </c:pt>
                <c:pt idx="10">
                  <c:v>88</c:v>
                </c:pt>
                <c:pt idx="11">
                  <c:v>80</c:v>
                </c:pt>
                <c:pt idx="12">
                  <c:v>85</c:v>
                </c:pt>
                <c:pt idx="13">
                  <c:v>87</c:v>
                </c:pt>
                <c:pt idx="14">
                  <c:v>80</c:v>
                </c:pt>
                <c:pt idx="15">
                  <c:v>78</c:v>
                </c:pt>
                <c:pt idx="16">
                  <c:v>87</c:v>
                </c:pt>
                <c:pt idx="17">
                  <c:v>90</c:v>
                </c:pt>
                <c:pt idx="18">
                  <c:v>83</c:v>
                </c:pt>
                <c:pt idx="19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A1-4BB8-BE64-528802A4D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206272"/>
        <c:axId val="1861772432"/>
      </c:scatterChart>
      <c:valAx>
        <c:axId val="87220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Sheet5!$L$4</c:f>
              <c:strCache>
                <c:ptCount val="1"/>
                <c:pt idx="0">
                  <c:v>Z-Quartile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861772432"/>
        <c:crosses val="autoZero"/>
        <c:crossBetween val="midCat"/>
      </c:valAx>
      <c:valAx>
        <c:axId val="18617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Sheet5!$I$4</c:f>
              <c:strCache>
                <c:ptCount val="1"/>
                <c:pt idx="0">
                  <c:v>Alloy A 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872206272"/>
        <c:crossesAt val="-2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Plot Alloy</a:t>
            </a:r>
            <a:r>
              <a:rPr lang="en-US" baseline="0"/>
              <a:t> B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Alloy B Probability Polot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52445319335083"/>
                  <c:y val="0.18476851851851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Sheet5!$P$5:$P$24</c:f>
              <c:numCache>
                <c:formatCode>General</c:formatCode>
                <c:ptCount val="20"/>
                <c:pt idx="0">
                  <c:v>-1.9599639845400538</c:v>
                </c:pt>
                <c:pt idx="1">
                  <c:v>-0.93458929107347943</c:v>
                </c:pt>
                <c:pt idx="2">
                  <c:v>1.9599639845400536</c:v>
                </c:pt>
                <c:pt idx="3">
                  <c:v>1.1503493803760083</c:v>
                </c:pt>
                <c:pt idx="4">
                  <c:v>6.2706777943213846E-2</c:v>
                </c:pt>
                <c:pt idx="5">
                  <c:v>-1.4395314709384572</c:v>
                </c:pt>
                <c:pt idx="6">
                  <c:v>1.4395314709384563</c:v>
                </c:pt>
                <c:pt idx="7">
                  <c:v>-6.2706777943213846E-2</c:v>
                </c:pt>
                <c:pt idx="8">
                  <c:v>6.2706777943213846E-2</c:v>
                </c:pt>
                <c:pt idx="9">
                  <c:v>-0.59776012604247841</c:v>
                </c:pt>
                <c:pt idx="10">
                  <c:v>0.9345892910734801</c:v>
                </c:pt>
                <c:pt idx="11">
                  <c:v>-1.4395314709384572</c:v>
                </c:pt>
                <c:pt idx="12">
                  <c:v>0.45376219016987968</c:v>
                </c:pt>
                <c:pt idx="13">
                  <c:v>-0.59776012604247841</c:v>
                </c:pt>
                <c:pt idx="14">
                  <c:v>-0.59776012604247841</c:v>
                </c:pt>
                <c:pt idx="15">
                  <c:v>0.75541502636046909</c:v>
                </c:pt>
                <c:pt idx="16">
                  <c:v>6.2706777943213846E-2</c:v>
                </c:pt>
                <c:pt idx="17">
                  <c:v>0.45376219016987968</c:v>
                </c:pt>
                <c:pt idx="18">
                  <c:v>-0.93458929107347943</c:v>
                </c:pt>
                <c:pt idx="19">
                  <c:v>-0.59776012604247841</c:v>
                </c:pt>
              </c:numCache>
            </c:numRef>
          </c:xVal>
          <c:yVal>
            <c:numRef>
              <c:f>Sheet5!$M$5:$M$24</c:f>
              <c:numCache>
                <c:formatCode>General</c:formatCode>
                <c:ptCount val="20"/>
                <c:pt idx="0">
                  <c:v>75</c:v>
                </c:pt>
                <c:pt idx="1">
                  <c:v>77</c:v>
                </c:pt>
                <c:pt idx="2">
                  <c:v>86</c:v>
                </c:pt>
                <c:pt idx="3">
                  <c:v>84</c:v>
                </c:pt>
                <c:pt idx="4">
                  <c:v>80</c:v>
                </c:pt>
                <c:pt idx="5">
                  <c:v>76</c:v>
                </c:pt>
                <c:pt idx="6">
                  <c:v>85</c:v>
                </c:pt>
                <c:pt idx="7">
                  <c:v>79</c:v>
                </c:pt>
                <c:pt idx="8">
                  <c:v>80</c:v>
                </c:pt>
                <c:pt idx="9">
                  <c:v>78</c:v>
                </c:pt>
                <c:pt idx="10">
                  <c:v>83</c:v>
                </c:pt>
                <c:pt idx="11">
                  <c:v>76</c:v>
                </c:pt>
                <c:pt idx="12">
                  <c:v>81</c:v>
                </c:pt>
                <c:pt idx="13">
                  <c:v>78</c:v>
                </c:pt>
                <c:pt idx="14">
                  <c:v>78</c:v>
                </c:pt>
                <c:pt idx="15">
                  <c:v>82</c:v>
                </c:pt>
                <c:pt idx="16">
                  <c:v>80</c:v>
                </c:pt>
                <c:pt idx="17">
                  <c:v>81</c:v>
                </c:pt>
                <c:pt idx="18">
                  <c:v>77</c:v>
                </c:pt>
                <c:pt idx="19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9-45C2-ABB3-D84F1C15C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935968"/>
        <c:axId val="878774528"/>
      </c:scatterChart>
      <c:valAx>
        <c:axId val="1760935968"/>
        <c:scaling>
          <c:orientation val="minMax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Sheet5!$P$4</c:f>
              <c:strCache>
                <c:ptCount val="1"/>
                <c:pt idx="0">
                  <c:v>Z-Quartile 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878774528"/>
        <c:crosses val="autoZero"/>
        <c:crossBetween val="midCat"/>
      </c:valAx>
      <c:valAx>
        <c:axId val="8787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Sheet5!$M$4</c:f>
              <c:strCache>
                <c:ptCount val="1"/>
                <c:pt idx="0">
                  <c:v>Alloy 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760935968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>
        <c:manualLayout>
          <c:layoutTarget val="inner"/>
          <c:xMode val="edge"/>
          <c:yMode val="edge"/>
          <c:x val="6.591473139465584E-2"/>
          <c:y val="0.12172334291784852"/>
          <c:w val="0.90755773277708951"/>
          <c:h val="0.7089586385006801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Sheet4!$G$3</c:f>
              <c:strCache>
                <c:ptCount val="1"/>
                <c:pt idx="0">
                  <c:v>¯xi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Sheet4!$A$4:$A$48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Sheet4!$G$4:$G$48</c:f>
              <c:numCache>
                <c:formatCode>General</c:formatCode>
                <c:ptCount val="45"/>
                <c:pt idx="0">
                  <c:v>1.5118800000000001</c:v>
                </c:pt>
                <c:pt idx="1">
                  <c:v>1.4951199999999998</c:v>
                </c:pt>
                <c:pt idx="2">
                  <c:v>1.4816999999999998</c:v>
                </c:pt>
                <c:pt idx="3">
                  <c:v>1.4711799999999999</c:v>
                </c:pt>
                <c:pt idx="4">
                  <c:v>1.4881600000000001</c:v>
                </c:pt>
                <c:pt idx="5">
                  <c:v>1.4491800000000001</c:v>
                </c:pt>
                <c:pt idx="6">
                  <c:v>1.5805</c:v>
                </c:pt>
                <c:pt idx="7">
                  <c:v>1.5343199999999999</c:v>
                </c:pt>
                <c:pt idx="8">
                  <c:v>1.5076000000000001</c:v>
                </c:pt>
                <c:pt idx="9">
                  <c:v>1.5134399999999999</c:v>
                </c:pt>
                <c:pt idx="10">
                  <c:v>1.5242400000000003</c:v>
                </c:pt>
                <c:pt idx="11">
                  <c:v>1.5284000000000002</c:v>
                </c:pt>
                <c:pt idx="12">
                  <c:v>1.3947000000000001</c:v>
                </c:pt>
                <c:pt idx="13">
                  <c:v>1.5261399999999998</c:v>
                </c:pt>
                <c:pt idx="14">
                  <c:v>1.4083199999999998</c:v>
                </c:pt>
                <c:pt idx="15">
                  <c:v>1.5344</c:v>
                </c:pt>
                <c:pt idx="16">
                  <c:v>1.4873799999999999</c:v>
                </c:pt>
                <c:pt idx="17">
                  <c:v>1.4573399999999999</c:v>
                </c:pt>
                <c:pt idx="18">
                  <c:v>1.5777000000000001</c:v>
                </c:pt>
                <c:pt idx="19">
                  <c:v>1.5059999999999998</c:v>
                </c:pt>
                <c:pt idx="20">
                  <c:v>1.4691400000000001</c:v>
                </c:pt>
                <c:pt idx="21">
                  <c:v>1.5390000000000001</c:v>
                </c:pt>
                <c:pt idx="22">
                  <c:v>1.5592400000000002</c:v>
                </c:pt>
                <c:pt idx="23">
                  <c:v>1.5688</c:v>
                </c:pt>
                <c:pt idx="24">
                  <c:v>1.5263800000000001</c:v>
                </c:pt>
                <c:pt idx="25">
                  <c:v>1.4997599999999998</c:v>
                </c:pt>
                <c:pt idx="26">
                  <c:v>1.5141800000000001</c:v>
                </c:pt>
                <c:pt idx="27">
                  <c:v>1.5332399999999999</c:v>
                </c:pt>
                <c:pt idx="28">
                  <c:v>1.4152</c:v>
                </c:pt>
                <c:pt idx="29">
                  <c:v>1.5096800000000001</c:v>
                </c:pt>
                <c:pt idx="30">
                  <c:v>1.4723999999999999</c:v>
                </c:pt>
                <c:pt idx="31">
                  <c:v>1.5291999999999999</c:v>
                </c:pt>
                <c:pt idx="32">
                  <c:v>1.5317000000000001</c:v>
                </c:pt>
                <c:pt idx="33">
                  <c:v>1.57934</c:v>
                </c:pt>
                <c:pt idx="34">
                  <c:v>1.4278999999999999</c:v>
                </c:pt>
                <c:pt idx="35">
                  <c:v>1.4823800000000003</c:v>
                </c:pt>
                <c:pt idx="36">
                  <c:v>1.4909800000000002</c:v>
                </c:pt>
                <c:pt idx="37">
                  <c:v>1.6127800000000001</c:v>
                </c:pt>
                <c:pt idx="38">
                  <c:v>1.65598</c:v>
                </c:pt>
                <c:pt idx="39">
                  <c:v>1.6420199999999998</c:v>
                </c:pt>
                <c:pt idx="40">
                  <c:v>1.6715599999999999</c:v>
                </c:pt>
                <c:pt idx="41">
                  <c:v>1.6251599999999999</c:v>
                </c:pt>
                <c:pt idx="42">
                  <c:v>1.69696</c:v>
                </c:pt>
                <c:pt idx="43">
                  <c:v>1.6321400000000001</c:v>
                </c:pt>
                <c:pt idx="44">
                  <c:v>1.77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9C-4E31-96BF-0279BD12203C}"/>
            </c:ext>
          </c:extLst>
        </c:ser>
        <c:ser>
          <c:idx val="1"/>
          <c:order val="1"/>
          <c:tx>
            <c:strRef>
              <c:f>Sheet4!$I$3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Sheet4!$A$4:$A$48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Sheet4!$I$4:$I$48</c:f>
              <c:numCache>
                <c:formatCode>General</c:formatCode>
                <c:ptCount val="45"/>
                <c:pt idx="0">
                  <c:v>1.5056104000000006</c:v>
                </c:pt>
                <c:pt idx="1">
                  <c:v>1.5056104000000006</c:v>
                </c:pt>
                <c:pt idx="2">
                  <c:v>1.5056104000000006</c:v>
                </c:pt>
                <c:pt idx="3">
                  <c:v>1.5056104000000006</c:v>
                </c:pt>
                <c:pt idx="4">
                  <c:v>1.5056104000000006</c:v>
                </c:pt>
                <c:pt idx="5">
                  <c:v>1.5056104000000006</c:v>
                </c:pt>
                <c:pt idx="6">
                  <c:v>1.5056104000000006</c:v>
                </c:pt>
                <c:pt idx="7">
                  <c:v>1.5056104000000006</c:v>
                </c:pt>
                <c:pt idx="8">
                  <c:v>1.5056104000000006</c:v>
                </c:pt>
                <c:pt idx="9">
                  <c:v>1.5056104000000006</c:v>
                </c:pt>
                <c:pt idx="10">
                  <c:v>1.5056104000000006</c:v>
                </c:pt>
                <c:pt idx="11">
                  <c:v>1.5056104000000006</c:v>
                </c:pt>
                <c:pt idx="12">
                  <c:v>1.5056104000000006</c:v>
                </c:pt>
                <c:pt idx="13">
                  <c:v>1.5056104000000006</c:v>
                </c:pt>
                <c:pt idx="14">
                  <c:v>1.5056104000000006</c:v>
                </c:pt>
                <c:pt idx="15">
                  <c:v>1.5056104000000006</c:v>
                </c:pt>
                <c:pt idx="16">
                  <c:v>1.5056104000000006</c:v>
                </c:pt>
                <c:pt idx="17">
                  <c:v>1.5056104000000006</c:v>
                </c:pt>
                <c:pt idx="18">
                  <c:v>1.5056104000000006</c:v>
                </c:pt>
                <c:pt idx="19">
                  <c:v>1.5056104000000006</c:v>
                </c:pt>
                <c:pt idx="20">
                  <c:v>1.5056104000000006</c:v>
                </c:pt>
                <c:pt idx="21">
                  <c:v>1.5056104000000006</c:v>
                </c:pt>
                <c:pt idx="22">
                  <c:v>1.5056104000000006</c:v>
                </c:pt>
                <c:pt idx="23">
                  <c:v>1.5056104000000006</c:v>
                </c:pt>
                <c:pt idx="24">
                  <c:v>1.5056104000000006</c:v>
                </c:pt>
                <c:pt idx="25">
                  <c:v>1.5056104000000006</c:v>
                </c:pt>
                <c:pt idx="26">
                  <c:v>1.5056104000000006</c:v>
                </c:pt>
                <c:pt idx="27">
                  <c:v>1.5056104000000006</c:v>
                </c:pt>
                <c:pt idx="28">
                  <c:v>1.5056104000000006</c:v>
                </c:pt>
                <c:pt idx="29">
                  <c:v>1.5056104000000006</c:v>
                </c:pt>
                <c:pt idx="30">
                  <c:v>1.5056104000000006</c:v>
                </c:pt>
                <c:pt idx="31">
                  <c:v>1.5056104000000006</c:v>
                </c:pt>
                <c:pt idx="32">
                  <c:v>1.5056104000000006</c:v>
                </c:pt>
                <c:pt idx="33">
                  <c:v>1.5056104000000006</c:v>
                </c:pt>
                <c:pt idx="34">
                  <c:v>1.5056104000000006</c:v>
                </c:pt>
                <c:pt idx="35">
                  <c:v>1.5056104000000006</c:v>
                </c:pt>
                <c:pt idx="36">
                  <c:v>1.5056104000000006</c:v>
                </c:pt>
                <c:pt idx="37">
                  <c:v>1.5056104000000006</c:v>
                </c:pt>
                <c:pt idx="38">
                  <c:v>1.5056104000000006</c:v>
                </c:pt>
                <c:pt idx="39">
                  <c:v>1.5056104000000006</c:v>
                </c:pt>
                <c:pt idx="40">
                  <c:v>1.5056104000000006</c:v>
                </c:pt>
                <c:pt idx="41">
                  <c:v>1.5056104000000006</c:v>
                </c:pt>
                <c:pt idx="42">
                  <c:v>1.5056104000000006</c:v>
                </c:pt>
                <c:pt idx="43">
                  <c:v>1.5056104000000006</c:v>
                </c:pt>
                <c:pt idx="44">
                  <c:v>1.5056104000000006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9C-4E31-96BF-0279BD12203C}"/>
            </c:ext>
          </c:extLst>
        </c:ser>
        <c:ser>
          <c:idx val="2"/>
          <c:order val="2"/>
          <c:tx>
            <c:strRef>
              <c:f>Sheet4!$K$3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Sheet4!$A$4:$A$48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Sheet4!$K$4:$K$48</c:f>
              <c:numCache>
                <c:formatCode>General</c:formatCode>
                <c:ptCount val="45"/>
                <c:pt idx="0">
                  <c:v>1.6932554160000004</c:v>
                </c:pt>
                <c:pt idx="1">
                  <c:v>1.6932554160000004</c:v>
                </c:pt>
                <c:pt idx="2">
                  <c:v>1.6932554160000004</c:v>
                </c:pt>
                <c:pt idx="3">
                  <c:v>1.6932554160000004</c:v>
                </c:pt>
                <c:pt idx="4">
                  <c:v>1.6932554160000004</c:v>
                </c:pt>
                <c:pt idx="5">
                  <c:v>1.6932554160000004</c:v>
                </c:pt>
                <c:pt idx="6">
                  <c:v>1.6932554160000004</c:v>
                </c:pt>
                <c:pt idx="7">
                  <c:v>1.6932554160000004</c:v>
                </c:pt>
                <c:pt idx="8">
                  <c:v>1.6932554160000004</c:v>
                </c:pt>
                <c:pt idx="9">
                  <c:v>1.6932554160000004</c:v>
                </c:pt>
                <c:pt idx="10">
                  <c:v>1.6932554160000004</c:v>
                </c:pt>
                <c:pt idx="11">
                  <c:v>1.6932554160000004</c:v>
                </c:pt>
                <c:pt idx="12">
                  <c:v>1.6932554160000004</c:v>
                </c:pt>
                <c:pt idx="13">
                  <c:v>1.6932554160000004</c:v>
                </c:pt>
                <c:pt idx="14">
                  <c:v>1.6932554160000004</c:v>
                </c:pt>
                <c:pt idx="15">
                  <c:v>1.6932554160000004</c:v>
                </c:pt>
                <c:pt idx="16">
                  <c:v>1.6932554160000004</c:v>
                </c:pt>
                <c:pt idx="17">
                  <c:v>1.6932554160000004</c:v>
                </c:pt>
                <c:pt idx="18">
                  <c:v>1.6932554160000004</c:v>
                </c:pt>
                <c:pt idx="19">
                  <c:v>1.6932554160000004</c:v>
                </c:pt>
                <c:pt idx="20">
                  <c:v>1.6932554160000004</c:v>
                </c:pt>
                <c:pt idx="21">
                  <c:v>1.6932554160000004</c:v>
                </c:pt>
                <c:pt idx="22">
                  <c:v>1.6932554160000004</c:v>
                </c:pt>
                <c:pt idx="23">
                  <c:v>1.6932554160000004</c:v>
                </c:pt>
                <c:pt idx="24">
                  <c:v>1.6932554160000004</c:v>
                </c:pt>
                <c:pt idx="25">
                  <c:v>1.6932554160000004</c:v>
                </c:pt>
                <c:pt idx="26">
                  <c:v>1.6932554160000004</c:v>
                </c:pt>
                <c:pt idx="27">
                  <c:v>1.6932554160000004</c:v>
                </c:pt>
                <c:pt idx="28">
                  <c:v>1.6932554160000004</c:v>
                </c:pt>
                <c:pt idx="29">
                  <c:v>1.6932554160000004</c:v>
                </c:pt>
                <c:pt idx="30">
                  <c:v>1.6932554160000004</c:v>
                </c:pt>
                <c:pt idx="31">
                  <c:v>1.6932554160000004</c:v>
                </c:pt>
                <c:pt idx="32">
                  <c:v>1.6932554160000004</c:v>
                </c:pt>
                <c:pt idx="33">
                  <c:v>1.6932554160000004</c:v>
                </c:pt>
                <c:pt idx="34">
                  <c:v>1.6932554160000004</c:v>
                </c:pt>
                <c:pt idx="35">
                  <c:v>1.6932554160000004</c:v>
                </c:pt>
                <c:pt idx="36">
                  <c:v>1.6932554160000004</c:v>
                </c:pt>
                <c:pt idx="37">
                  <c:v>1.6932554160000004</c:v>
                </c:pt>
                <c:pt idx="38">
                  <c:v>1.6932554160000004</c:v>
                </c:pt>
                <c:pt idx="39">
                  <c:v>1.6932554160000004</c:v>
                </c:pt>
                <c:pt idx="40">
                  <c:v>1.6932554160000004</c:v>
                </c:pt>
                <c:pt idx="41">
                  <c:v>1.6932554160000004</c:v>
                </c:pt>
                <c:pt idx="42">
                  <c:v>1.6932554160000004</c:v>
                </c:pt>
                <c:pt idx="43">
                  <c:v>1.6932554160000004</c:v>
                </c:pt>
                <c:pt idx="44">
                  <c:v>1.6932554160000004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9C-4E31-96BF-0279BD12203C}"/>
            </c:ext>
          </c:extLst>
        </c:ser>
        <c:ser>
          <c:idx val="3"/>
          <c:order val="3"/>
          <c:tx>
            <c:strRef>
              <c:f>Sheet4!$L$3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Sheet4!$A$4:$A$48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Sheet4!$L$4:$L$48</c:f>
              <c:numCache>
                <c:formatCode>General</c:formatCode>
                <c:ptCount val="45"/>
                <c:pt idx="0">
                  <c:v>1.3179653840000007</c:v>
                </c:pt>
                <c:pt idx="1">
                  <c:v>1.3179653840000007</c:v>
                </c:pt>
                <c:pt idx="2">
                  <c:v>1.3179653840000007</c:v>
                </c:pt>
                <c:pt idx="3">
                  <c:v>1.3179653840000007</c:v>
                </c:pt>
                <c:pt idx="4">
                  <c:v>1.3179653840000007</c:v>
                </c:pt>
                <c:pt idx="5">
                  <c:v>1.3179653840000007</c:v>
                </c:pt>
                <c:pt idx="6">
                  <c:v>1.3179653840000007</c:v>
                </c:pt>
                <c:pt idx="7">
                  <c:v>1.3179653840000007</c:v>
                </c:pt>
                <c:pt idx="8">
                  <c:v>1.3179653840000007</c:v>
                </c:pt>
                <c:pt idx="9">
                  <c:v>1.3179653840000007</c:v>
                </c:pt>
                <c:pt idx="10">
                  <c:v>1.3179653840000007</c:v>
                </c:pt>
                <c:pt idx="11">
                  <c:v>1.3179653840000007</c:v>
                </c:pt>
                <c:pt idx="12">
                  <c:v>1.3179653840000007</c:v>
                </c:pt>
                <c:pt idx="13">
                  <c:v>1.3179653840000007</c:v>
                </c:pt>
                <c:pt idx="14">
                  <c:v>1.3179653840000007</c:v>
                </c:pt>
                <c:pt idx="15">
                  <c:v>1.3179653840000007</c:v>
                </c:pt>
                <c:pt idx="16">
                  <c:v>1.3179653840000007</c:v>
                </c:pt>
                <c:pt idx="17">
                  <c:v>1.3179653840000007</c:v>
                </c:pt>
                <c:pt idx="18">
                  <c:v>1.3179653840000007</c:v>
                </c:pt>
                <c:pt idx="19">
                  <c:v>1.3179653840000007</c:v>
                </c:pt>
                <c:pt idx="20">
                  <c:v>1.3179653840000007</c:v>
                </c:pt>
                <c:pt idx="21">
                  <c:v>1.3179653840000007</c:v>
                </c:pt>
                <c:pt idx="22">
                  <c:v>1.3179653840000007</c:v>
                </c:pt>
                <c:pt idx="23">
                  <c:v>1.3179653840000007</c:v>
                </c:pt>
                <c:pt idx="24">
                  <c:v>1.3179653840000007</c:v>
                </c:pt>
                <c:pt idx="25">
                  <c:v>1.3179653840000007</c:v>
                </c:pt>
                <c:pt idx="26">
                  <c:v>1.3179653840000007</c:v>
                </c:pt>
                <c:pt idx="27">
                  <c:v>1.3179653840000007</c:v>
                </c:pt>
                <c:pt idx="28">
                  <c:v>1.3179653840000007</c:v>
                </c:pt>
                <c:pt idx="29">
                  <c:v>1.3179653840000007</c:v>
                </c:pt>
                <c:pt idx="30">
                  <c:v>1.3179653840000007</c:v>
                </c:pt>
                <c:pt idx="31">
                  <c:v>1.3179653840000007</c:v>
                </c:pt>
                <c:pt idx="32">
                  <c:v>1.3179653840000007</c:v>
                </c:pt>
                <c:pt idx="33">
                  <c:v>1.3179653840000007</c:v>
                </c:pt>
                <c:pt idx="34">
                  <c:v>1.3179653840000007</c:v>
                </c:pt>
                <c:pt idx="35">
                  <c:v>1.3179653840000007</c:v>
                </c:pt>
                <c:pt idx="36">
                  <c:v>1.3179653840000007</c:v>
                </c:pt>
                <c:pt idx="37">
                  <c:v>1.3179653840000007</c:v>
                </c:pt>
                <c:pt idx="38">
                  <c:v>1.3179653840000007</c:v>
                </c:pt>
                <c:pt idx="39">
                  <c:v>1.3179653840000007</c:v>
                </c:pt>
                <c:pt idx="40">
                  <c:v>1.3179653840000007</c:v>
                </c:pt>
                <c:pt idx="41">
                  <c:v>1.3179653840000007</c:v>
                </c:pt>
                <c:pt idx="42">
                  <c:v>1.3179653840000007</c:v>
                </c:pt>
                <c:pt idx="43">
                  <c:v>1.3179653840000007</c:v>
                </c:pt>
                <c:pt idx="44">
                  <c:v>1.3179653840000007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9C-4E31-96BF-0279BD122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875712"/>
        <c:axId val="1945124608"/>
      </c:scatterChart>
      <c:valAx>
        <c:axId val="207187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945124608"/>
        <c:crosses val="autoZero"/>
        <c:crossBetween val="midCat"/>
      </c:valAx>
      <c:valAx>
        <c:axId val="1945124608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07187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Sheet4!$H$3</c:f>
              <c:strCache>
                <c:ptCount val="1"/>
                <c:pt idx="0">
                  <c:v>Ri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Sheet4!$A$4:$A$48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Sheet4!$H$4:$H$48</c:f>
              <c:numCache>
                <c:formatCode>General</c:formatCode>
                <c:ptCount val="45"/>
                <c:pt idx="0">
                  <c:v>0.36790000000000012</c:v>
                </c:pt>
                <c:pt idx="1">
                  <c:v>0.25170000000000003</c:v>
                </c:pt>
                <c:pt idx="2">
                  <c:v>0.13900000000000001</c:v>
                </c:pt>
                <c:pt idx="3">
                  <c:v>0.35210000000000008</c:v>
                </c:pt>
                <c:pt idx="4">
                  <c:v>0.37059999999999982</c:v>
                </c:pt>
                <c:pt idx="5">
                  <c:v>0.26739999999999986</c:v>
                </c:pt>
                <c:pt idx="6">
                  <c:v>0.41890000000000005</c:v>
                </c:pt>
                <c:pt idx="7">
                  <c:v>0.24469999999999992</c:v>
                </c:pt>
                <c:pt idx="8">
                  <c:v>0.3589</c:v>
                </c:pt>
                <c:pt idx="9">
                  <c:v>0.26580000000000004</c:v>
                </c:pt>
                <c:pt idx="10">
                  <c:v>0.35089999999999999</c:v>
                </c:pt>
                <c:pt idx="11">
                  <c:v>0.42040000000000011</c:v>
                </c:pt>
                <c:pt idx="12">
                  <c:v>0.44699999999999984</c:v>
                </c:pt>
                <c:pt idx="13">
                  <c:v>0.24219999999999997</c:v>
                </c:pt>
                <c:pt idx="14">
                  <c:v>0.34989999999999988</c:v>
                </c:pt>
                <c:pt idx="15">
                  <c:v>0.68230000000000013</c:v>
                </c:pt>
                <c:pt idx="16">
                  <c:v>0.3589</c:v>
                </c:pt>
                <c:pt idx="17">
                  <c:v>0.31529999999999991</c:v>
                </c:pt>
                <c:pt idx="18">
                  <c:v>0.30619999999999981</c:v>
                </c:pt>
                <c:pt idx="19">
                  <c:v>0.52400000000000002</c:v>
                </c:pt>
                <c:pt idx="20">
                  <c:v>0.21849999999999992</c:v>
                </c:pt>
                <c:pt idx="21">
                  <c:v>0.18630000000000013</c:v>
                </c:pt>
                <c:pt idx="22">
                  <c:v>0.25330000000000008</c:v>
                </c:pt>
                <c:pt idx="23">
                  <c:v>0.11559999999999993</c:v>
                </c:pt>
                <c:pt idx="24">
                  <c:v>0.32240000000000002</c:v>
                </c:pt>
                <c:pt idx="25">
                  <c:v>0.19030000000000014</c:v>
                </c:pt>
                <c:pt idx="26">
                  <c:v>0.35409999999999986</c:v>
                </c:pt>
                <c:pt idx="27">
                  <c:v>0.3214999999999999</c:v>
                </c:pt>
                <c:pt idx="28">
                  <c:v>0.45230000000000015</c:v>
                </c:pt>
                <c:pt idx="29">
                  <c:v>0.18450000000000011</c:v>
                </c:pt>
                <c:pt idx="30">
                  <c:v>0.32200000000000006</c:v>
                </c:pt>
                <c:pt idx="31">
                  <c:v>0.16680000000000006</c:v>
                </c:pt>
                <c:pt idx="32">
                  <c:v>0.34450000000000003</c:v>
                </c:pt>
                <c:pt idx="33">
                  <c:v>0.31810000000000005</c:v>
                </c:pt>
                <c:pt idx="34">
                  <c:v>0.18180000000000018</c:v>
                </c:pt>
                <c:pt idx="35">
                  <c:v>0.42409999999999992</c:v>
                </c:pt>
                <c:pt idx="36">
                  <c:v>9.2000000000000082E-2</c:v>
                </c:pt>
                <c:pt idx="37">
                  <c:v>0.24250000000000016</c:v>
                </c:pt>
                <c:pt idx="38">
                  <c:v>0.38609999999999989</c:v>
                </c:pt>
                <c:pt idx="39">
                  <c:v>0.36619999999999986</c:v>
                </c:pt>
                <c:pt idx="40">
                  <c:v>0.38109999999999999</c:v>
                </c:pt>
                <c:pt idx="41">
                  <c:v>0.28989999999999982</c:v>
                </c:pt>
                <c:pt idx="42">
                  <c:v>0.20030000000000014</c:v>
                </c:pt>
                <c:pt idx="43">
                  <c:v>0.4839</c:v>
                </c:pt>
                <c:pt idx="44">
                  <c:v>0.31869999999999998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E-4ED2-AB66-39434600B733}"/>
            </c:ext>
          </c:extLst>
        </c:ser>
        <c:ser>
          <c:idx val="1"/>
          <c:order val="1"/>
          <c:tx>
            <c:strRef>
              <c:f>Sheet4!$J$3</c:f>
              <c:strCache>
                <c:ptCount val="1"/>
                <c:pt idx="0">
                  <c:v>r-Bar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Sheet4!$A$4:$A$48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Sheet4!$J$4:$J$48</c:f>
              <c:numCache>
                <c:formatCode>General</c:formatCode>
                <c:ptCount val="45"/>
                <c:pt idx="0">
                  <c:v>0.32520799999999994</c:v>
                </c:pt>
                <c:pt idx="1">
                  <c:v>0.32520799999999994</c:v>
                </c:pt>
                <c:pt idx="2">
                  <c:v>0.32520799999999994</c:v>
                </c:pt>
                <c:pt idx="3">
                  <c:v>0.32520799999999994</c:v>
                </c:pt>
                <c:pt idx="4">
                  <c:v>0.32520799999999994</c:v>
                </c:pt>
                <c:pt idx="5">
                  <c:v>0.32520799999999994</c:v>
                </c:pt>
                <c:pt idx="6">
                  <c:v>0.32520799999999994</c:v>
                </c:pt>
                <c:pt idx="7">
                  <c:v>0.32520799999999994</c:v>
                </c:pt>
                <c:pt idx="8">
                  <c:v>0.32520799999999994</c:v>
                </c:pt>
                <c:pt idx="9">
                  <c:v>0.32520799999999994</c:v>
                </c:pt>
                <c:pt idx="10">
                  <c:v>0.32520799999999994</c:v>
                </c:pt>
                <c:pt idx="11">
                  <c:v>0.32520799999999994</c:v>
                </c:pt>
                <c:pt idx="12">
                  <c:v>0.32520799999999994</c:v>
                </c:pt>
                <c:pt idx="13">
                  <c:v>0.32520799999999994</c:v>
                </c:pt>
                <c:pt idx="14">
                  <c:v>0.32520799999999994</c:v>
                </c:pt>
                <c:pt idx="15">
                  <c:v>0.32520799999999994</c:v>
                </c:pt>
                <c:pt idx="16">
                  <c:v>0.32520799999999994</c:v>
                </c:pt>
                <c:pt idx="17">
                  <c:v>0.32520799999999994</c:v>
                </c:pt>
                <c:pt idx="18">
                  <c:v>0.32520799999999994</c:v>
                </c:pt>
                <c:pt idx="19">
                  <c:v>0.32520799999999994</c:v>
                </c:pt>
                <c:pt idx="20">
                  <c:v>0.32520799999999994</c:v>
                </c:pt>
                <c:pt idx="21">
                  <c:v>0.32520799999999994</c:v>
                </c:pt>
                <c:pt idx="22">
                  <c:v>0.32520799999999994</c:v>
                </c:pt>
                <c:pt idx="23">
                  <c:v>0.32520799999999994</c:v>
                </c:pt>
                <c:pt idx="24">
                  <c:v>0.32520799999999994</c:v>
                </c:pt>
                <c:pt idx="25">
                  <c:v>0.32520799999999994</c:v>
                </c:pt>
                <c:pt idx="26">
                  <c:v>0.32520799999999994</c:v>
                </c:pt>
                <c:pt idx="27">
                  <c:v>0.32520799999999994</c:v>
                </c:pt>
                <c:pt idx="28">
                  <c:v>0.32520799999999994</c:v>
                </c:pt>
                <c:pt idx="29">
                  <c:v>0.32520799999999994</c:v>
                </c:pt>
                <c:pt idx="30">
                  <c:v>0.32520799999999994</c:v>
                </c:pt>
                <c:pt idx="31">
                  <c:v>0.32520799999999994</c:v>
                </c:pt>
                <c:pt idx="32">
                  <c:v>0.32520799999999994</c:v>
                </c:pt>
                <c:pt idx="33">
                  <c:v>0.32520799999999994</c:v>
                </c:pt>
                <c:pt idx="34">
                  <c:v>0.32520799999999994</c:v>
                </c:pt>
                <c:pt idx="35">
                  <c:v>0.32520799999999994</c:v>
                </c:pt>
                <c:pt idx="36">
                  <c:v>0.32520799999999994</c:v>
                </c:pt>
                <c:pt idx="37">
                  <c:v>0.32520799999999994</c:v>
                </c:pt>
                <c:pt idx="38">
                  <c:v>0.32520799999999994</c:v>
                </c:pt>
                <c:pt idx="39">
                  <c:v>0.32520799999999994</c:v>
                </c:pt>
                <c:pt idx="40">
                  <c:v>0.32520799999999994</c:v>
                </c:pt>
                <c:pt idx="41">
                  <c:v>0.32520799999999994</c:v>
                </c:pt>
                <c:pt idx="42">
                  <c:v>0.32520799999999994</c:v>
                </c:pt>
                <c:pt idx="43">
                  <c:v>0.32520799999999994</c:v>
                </c:pt>
                <c:pt idx="44">
                  <c:v>0.32520799999999994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CE-4ED2-AB66-39434600B733}"/>
            </c:ext>
          </c:extLst>
        </c:ser>
        <c:ser>
          <c:idx val="2"/>
          <c:order val="2"/>
          <c:tx>
            <c:strRef>
              <c:f>Sheet4!$M$3</c:f>
              <c:strCache>
                <c:ptCount val="1"/>
                <c:pt idx="0">
                  <c:v>UCLr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Sheet4!$A$4:$A$48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Sheet4!$M$4:$M$48</c:f>
              <c:numCache>
                <c:formatCode>General</c:formatCode>
                <c:ptCount val="45"/>
                <c:pt idx="0">
                  <c:v>0.68748971199999986</c:v>
                </c:pt>
                <c:pt idx="1">
                  <c:v>0.68748971199999986</c:v>
                </c:pt>
                <c:pt idx="2">
                  <c:v>0.68748971199999986</c:v>
                </c:pt>
                <c:pt idx="3">
                  <c:v>0.68748971199999986</c:v>
                </c:pt>
                <c:pt idx="4">
                  <c:v>0.68748971199999986</c:v>
                </c:pt>
                <c:pt idx="5">
                  <c:v>0.68748971199999986</c:v>
                </c:pt>
                <c:pt idx="6">
                  <c:v>0.68748971199999986</c:v>
                </c:pt>
                <c:pt idx="7">
                  <c:v>0.68748971199999986</c:v>
                </c:pt>
                <c:pt idx="8">
                  <c:v>0.68748971199999986</c:v>
                </c:pt>
                <c:pt idx="9">
                  <c:v>0.68748971199999986</c:v>
                </c:pt>
                <c:pt idx="10">
                  <c:v>0.68748971199999986</c:v>
                </c:pt>
                <c:pt idx="11">
                  <c:v>0.68748971199999986</c:v>
                </c:pt>
                <c:pt idx="12">
                  <c:v>0.68748971199999986</c:v>
                </c:pt>
                <c:pt idx="13">
                  <c:v>0.68748971199999986</c:v>
                </c:pt>
                <c:pt idx="14">
                  <c:v>0.68748971199999986</c:v>
                </c:pt>
                <c:pt idx="15">
                  <c:v>0.68748971199999986</c:v>
                </c:pt>
                <c:pt idx="16">
                  <c:v>0.68748971199999986</c:v>
                </c:pt>
                <c:pt idx="17">
                  <c:v>0.68748971199999986</c:v>
                </c:pt>
                <c:pt idx="18">
                  <c:v>0.68748971199999986</c:v>
                </c:pt>
                <c:pt idx="19">
                  <c:v>0.68748971199999986</c:v>
                </c:pt>
                <c:pt idx="20">
                  <c:v>0.68748971199999986</c:v>
                </c:pt>
                <c:pt idx="21">
                  <c:v>0.68748971199999986</c:v>
                </c:pt>
                <c:pt idx="22">
                  <c:v>0.68748971199999986</c:v>
                </c:pt>
                <c:pt idx="23">
                  <c:v>0.68748971199999986</c:v>
                </c:pt>
                <c:pt idx="24">
                  <c:v>0.68748971199999986</c:v>
                </c:pt>
                <c:pt idx="25">
                  <c:v>0.68748971199999986</c:v>
                </c:pt>
                <c:pt idx="26">
                  <c:v>0.68748971199999986</c:v>
                </c:pt>
                <c:pt idx="27">
                  <c:v>0.68748971199999986</c:v>
                </c:pt>
                <c:pt idx="28">
                  <c:v>0.68748971199999986</c:v>
                </c:pt>
                <c:pt idx="29">
                  <c:v>0.68748971199999986</c:v>
                </c:pt>
                <c:pt idx="30">
                  <c:v>0.68748971199999986</c:v>
                </c:pt>
                <c:pt idx="31">
                  <c:v>0.68748971199999986</c:v>
                </c:pt>
                <c:pt idx="32">
                  <c:v>0.68748971199999986</c:v>
                </c:pt>
                <c:pt idx="33">
                  <c:v>0.68748971199999986</c:v>
                </c:pt>
                <c:pt idx="34">
                  <c:v>0.68748971199999986</c:v>
                </c:pt>
                <c:pt idx="35">
                  <c:v>0.68748971199999986</c:v>
                </c:pt>
                <c:pt idx="36">
                  <c:v>0.68748971199999986</c:v>
                </c:pt>
                <c:pt idx="37">
                  <c:v>0.68748971199999986</c:v>
                </c:pt>
                <c:pt idx="38">
                  <c:v>0.68748971199999986</c:v>
                </c:pt>
                <c:pt idx="39">
                  <c:v>0.68748971199999986</c:v>
                </c:pt>
                <c:pt idx="40">
                  <c:v>0.68748971199999986</c:v>
                </c:pt>
                <c:pt idx="41">
                  <c:v>0.68748971199999986</c:v>
                </c:pt>
                <c:pt idx="42">
                  <c:v>0.68748971199999986</c:v>
                </c:pt>
                <c:pt idx="43">
                  <c:v>0.68748971199999986</c:v>
                </c:pt>
                <c:pt idx="44">
                  <c:v>0.68748971199999986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CE-4ED2-AB66-39434600B733}"/>
            </c:ext>
          </c:extLst>
        </c:ser>
        <c:ser>
          <c:idx val="3"/>
          <c:order val="3"/>
          <c:tx>
            <c:strRef>
              <c:f>Sheet4!$N$3</c:f>
              <c:strCache>
                <c:ptCount val="1"/>
                <c:pt idx="0">
                  <c:v>LCLr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Sheet4!$A$4:$A$48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Sheet4!$N$4:$N$48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CE-4ED2-AB66-39434600B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45264"/>
        <c:axId val="474280208"/>
      </c:scatterChart>
      <c:valAx>
        <c:axId val="47404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74280208"/>
        <c:crosses val="autoZero"/>
        <c:crossBetween val="midCat"/>
      </c:valAx>
      <c:valAx>
        <c:axId val="4742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7404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Regression!$B$1</c:f>
              <c:strCache>
                <c:ptCount val="1"/>
                <c:pt idx="0">
                  <c:v>Oxygen Demand Reduction, y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940638795000852"/>
                  <c:y val="0.162974256035388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Regression!$A$2:$A$34</c:f>
              <c:numCache>
                <c:formatCode>General</c:formatCode>
                <c:ptCount val="33"/>
                <c:pt idx="0">
                  <c:v>3</c:v>
                </c:pt>
                <c:pt idx="1">
                  <c:v>7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27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31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33</c:v>
                </c:pt>
                <c:pt idx="14">
                  <c:v>34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50</c:v>
                </c:pt>
              </c:numCache>
            </c:numRef>
          </c:xVal>
          <c:yVal>
            <c:numRef>
              <c:f>Regression!$B$2:$B$34</c:f>
              <c:numCache>
                <c:formatCode>General</c:formatCode>
                <c:ptCount val="33"/>
                <c:pt idx="0">
                  <c:v>5</c:v>
                </c:pt>
                <c:pt idx="1">
                  <c:v>11</c:v>
                </c:pt>
                <c:pt idx="2">
                  <c:v>21</c:v>
                </c:pt>
                <c:pt idx="3">
                  <c:v>16</c:v>
                </c:pt>
                <c:pt idx="4">
                  <c:v>16</c:v>
                </c:pt>
                <c:pt idx="5">
                  <c:v>28</c:v>
                </c:pt>
                <c:pt idx="6">
                  <c:v>27</c:v>
                </c:pt>
                <c:pt idx="7">
                  <c:v>25</c:v>
                </c:pt>
                <c:pt idx="8">
                  <c:v>35</c:v>
                </c:pt>
                <c:pt idx="9">
                  <c:v>30</c:v>
                </c:pt>
                <c:pt idx="10">
                  <c:v>40</c:v>
                </c:pt>
                <c:pt idx="11">
                  <c:v>32</c:v>
                </c:pt>
                <c:pt idx="12">
                  <c:v>34</c:v>
                </c:pt>
                <c:pt idx="13">
                  <c:v>32</c:v>
                </c:pt>
                <c:pt idx="14">
                  <c:v>34</c:v>
                </c:pt>
                <c:pt idx="15">
                  <c:v>37</c:v>
                </c:pt>
                <c:pt idx="16">
                  <c:v>38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37</c:v>
                </c:pt>
                <c:pt idx="21">
                  <c:v>36</c:v>
                </c:pt>
                <c:pt idx="22">
                  <c:v>45</c:v>
                </c:pt>
                <c:pt idx="23">
                  <c:v>39</c:v>
                </c:pt>
                <c:pt idx="24">
                  <c:v>41</c:v>
                </c:pt>
                <c:pt idx="25">
                  <c:v>40</c:v>
                </c:pt>
                <c:pt idx="26">
                  <c:v>44</c:v>
                </c:pt>
                <c:pt idx="27">
                  <c:v>37</c:v>
                </c:pt>
                <c:pt idx="28">
                  <c:v>44</c:v>
                </c:pt>
                <c:pt idx="29">
                  <c:v>46</c:v>
                </c:pt>
                <c:pt idx="30">
                  <c:v>46</c:v>
                </c:pt>
                <c:pt idx="31">
                  <c:v>49</c:v>
                </c:pt>
                <c:pt idx="32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5D-4788-8394-DE2D71245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414096"/>
        <c:axId val="1588390368"/>
      </c:scatterChart>
      <c:valAx>
        <c:axId val="86641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Regression!$A$1</c:f>
              <c:strCache>
                <c:ptCount val="1"/>
                <c:pt idx="0">
                  <c:v>Solids Reduction, x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588390368"/>
        <c:crosses val="autoZero"/>
        <c:crossBetween val="midCat"/>
      </c:valAx>
      <c:valAx>
        <c:axId val="15883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Regression!$B$1</c:f>
              <c:strCache>
                <c:ptCount val="1"/>
                <c:pt idx="0">
                  <c:v>Oxygen Demand Reduction, 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86641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Regression!$C$39</c:f>
              <c:strCache>
                <c:ptCount val="1"/>
                <c:pt idx="0">
                  <c:v>Dynamic Lift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117235345581805E-2"/>
                  <c:y val="0.208802128900554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Regression!$B$40:$B$64</c:f>
              <c:numCache>
                <c:formatCode>General</c:formatCode>
                <c:ptCount val="25"/>
                <c:pt idx="0">
                  <c:v>17.3</c:v>
                </c:pt>
                <c:pt idx="1">
                  <c:v>19.3</c:v>
                </c:pt>
                <c:pt idx="2">
                  <c:v>19.5</c:v>
                </c:pt>
                <c:pt idx="3">
                  <c:v>19.7</c:v>
                </c:pt>
                <c:pt idx="4">
                  <c:v>22.9</c:v>
                </c:pt>
                <c:pt idx="5">
                  <c:v>23.1</c:v>
                </c:pt>
                <c:pt idx="6">
                  <c:v>26.4</c:v>
                </c:pt>
                <c:pt idx="7">
                  <c:v>26.8</c:v>
                </c:pt>
                <c:pt idx="8">
                  <c:v>27.6</c:v>
                </c:pt>
                <c:pt idx="9">
                  <c:v>28.1</c:v>
                </c:pt>
                <c:pt idx="10">
                  <c:v>28.2</c:v>
                </c:pt>
                <c:pt idx="11">
                  <c:v>28.7</c:v>
                </c:pt>
                <c:pt idx="12">
                  <c:v>29</c:v>
                </c:pt>
                <c:pt idx="13">
                  <c:v>29.6</c:v>
                </c:pt>
                <c:pt idx="14">
                  <c:v>29.9</c:v>
                </c:pt>
                <c:pt idx="15">
                  <c:v>29.9</c:v>
                </c:pt>
                <c:pt idx="16">
                  <c:v>30.3</c:v>
                </c:pt>
                <c:pt idx="17">
                  <c:v>31.3</c:v>
                </c:pt>
                <c:pt idx="18">
                  <c:v>36</c:v>
                </c:pt>
                <c:pt idx="19">
                  <c:v>39.5</c:v>
                </c:pt>
                <c:pt idx="20">
                  <c:v>40.4</c:v>
                </c:pt>
                <c:pt idx="21">
                  <c:v>44.3</c:v>
                </c:pt>
                <c:pt idx="22">
                  <c:v>44.6</c:v>
                </c:pt>
                <c:pt idx="23">
                  <c:v>50.4</c:v>
                </c:pt>
                <c:pt idx="24">
                  <c:v>55.9</c:v>
                </c:pt>
              </c:numCache>
            </c:numRef>
          </c:xVal>
          <c:yVal>
            <c:numRef>
              <c:f>Regression!$C$40:$C$64</c:f>
              <c:numCache>
                <c:formatCode>General</c:formatCode>
                <c:ptCount val="25"/>
                <c:pt idx="0">
                  <c:v>71.7</c:v>
                </c:pt>
                <c:pt idx="1">
                  <c:v>48.3</c:v>
                </c:pt>
                <c:pt idx="2">
                  <c:v>88.3</c:v>
                </c:pt>
                <c:pt idx="3">
                  <c:v>75</c:v>
                </c:pt>
                <c:pt idx="4">
                  <c:v>91.7</c:v>
                </c:pt>
                <c:pt idx="5">
                  <c:v>100</c:v>
                </c:pt>
                <c:pt idx="6">
                  <c:v>73.3</c:v>
                </c:pt>
                <c:pt idx="7">
                  <c:v>65</c:v>
                </c:pt>
                <c:pt idx="8">
                  <c:v>75</c:v>
                </c:pt>
                <c:pt idx="9">
                  <c:v>88.3</c:v>
                </c:pt>
                <c:pt idx="10">
                  <c:v>68.3</c:v>
                </c:pt>
                <c:pt idx="11">
                  <c:v>96.7</c:v>
                </c:pt>
                <c:pt idx="12">
                  <c:v>76.7</c:v>
                </c:pt>
                <c:pt idx="13">
                  <c:v>78.3</c:v>
                </c:pt>
                <c:pt idx="14">
                  <c:v>60</c:v>
                </c:pt>
                <c:pt idx="15">
                  <c:v>71.7</c:v>
                </c:pt>
                <c:pt idx="16">
                  <c:v>85</c:v>
                </c:pt>
                <c:pt idx="17">
                  <c:v>85</c:v>
                </c:pt>
                <c:pt idx="18">
                  <c:v>88.3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91.7</c:v>
                </c:pt>
                <c:pt idx="23">
                  <c:v>100</c:v>
                </c:pt>
                <c:pt idx="24">
                  <c:v>71.7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7-4E86-8783-25E3E5087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872272"/>
        <c:axId val="1809409584"/>
      </c:scatterChart>
      <c:valAx>
        <c:axId val="203987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809409584"/>
        <c:crosses val="autoZero"/>
        <c:crossBetween val="midCat"/>
      </c:valAx>
      <c:valAx>
        <c:axId val="18094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03987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Regression!$A$100:$A$124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Regression!$B$100:$B$124</c:f>
              <c:numCache>
                <c:formatCode>General</c:formatCode>
                <c:ptCount val="25"/>
                <c:pt idx="0">
                  <c:v>48.3</c:v>
                </c:pt>
                <c:pt idx="1">
                  <c:v>60</c:v>
                </c:pt>
                <c:pt idx="2">
                  <c:v>65</c:v>
                </c:pt>
                <c:pt idx="3">
                  <c:v>68.3</c:v>
                </c:pt>
                <c:pt idx="4">
                  <c:v>71.7</c:v>
                </c:pt>
                <c:pt idx="5">
                  <c:v>71.7</c:v>
                </c:pt>
                <c:pt idx="6">
                  <c:v>71.7</c:v>
                </c:pt>
                <c:pt idx="7">
                  <c:v>73.3</c:v>
                </c:pt>
                <c:pt idx="8">
                  <c:v>75</c:v>
                </c:pt>
                <c:pt idx="9">
                  <c:v>75</c:v>
                </c:pt>
                <c:pt idx="10">
                  <c:v>76.7</c:v>
                </c:pt>
                <c:pt idx="11">
                  <c:v>78.3</c:v>
                </c:pt>
                <c:pt idx="12">
                  <c:v>85</c:v>
                </c:pt>
                <c:pt idx="13">
                  <c:v>85</c:v>
                </c:pt>
                <c:pt idx="14">
                  <c:v>88.3</c:v>
                </c:pt>
                <c:pt idx="15">
                  <c:v>88.3</c:v>
                </c:pt>
                <c:pt idx="16">
                  <c:v>88.3</c:v>
                </c:pt>
                <c:pt idx="17">
                  <c:v>91.7</c:v>
                </c:pt>
                <c:pt idx="18">
                  <c:v>91.7</c:v>
                </c:pt>
                <c:pt idx="19">
                  <c:v>96.7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C1-412F-8C3C-CFD58F119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352720"/>
        <c:axId val="1782422208"/>
      </c:scatterChart>
      <c:valAx>
        <c:axId val="34135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2422208"/>
        <c:crosses val="autoZero"/>
        <c:crossBetween val="midCat"/>
      </c:valAx>
      <c:valAx>
        <c:axId val="1782422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Lift (y)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1352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Solids Reduction, x (%)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Oxygen Demand Reduction, y (%)</c:v>
          </c:tx>
          <c:spPr>
            <a:ln w="19050">
              <a:noFill/>
            </a:ln>
          </c:spPr>
          <c:xVal>
            <c:numRef>
              <c:f>Regression!$A$2:$A$34</c:f>
              <c:numCache>
                <c:formatCode>General</c:formatCode>
                <c:ptCount val="33"/>
                <c:pt idx="0">
                  <c:v>3</c:v>
                </c:pt>
                <c:pt idx="1">
                  <c:v>7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27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31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33</c:v>
                </c:pt>
                <c:pt idx="14">
                  <c:v>34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50</c:v>
                </c:pt>
              </c:numCache>
            </c:numRef>
          </c:xVal>
          <c:yVal>
            <c:numRef>
              <c:f>Regression!$B$2:$B$34</c:f>
              <c:numCache>
                <c:formatCode>General</c:formatCode>
                <c:ptCount val="33"/>
                <c:pt idx="0">
                  <c:v>5</c:v>
                </c:pt>
                <c:pt idx="1">
                  <c:v>11</c:v>
                </c:pt>
                <c:pt idx="2">
                  <c:v>21</c:v>
                </c:pt>
                <c:pt idx="3">
                  <c:v>16</c:v>
                </c:pt>
                <c:pt idx="4">
                  <c:v>16</c:v>
                </c:pt>
                <c:pt idx="5">
                  <c:v>28</c:v>
                </c:pt>
                <c:pt idx="6">
                  <c:v>27</c:v>
                </c:pt>
                <c:pt idx="7">
                  <c:v>25</c:v>
                </c:pt>
                <c:pt idx="8">
                  <c:v>35</c:v>
                </c:pt>
                <c:pt idx="9">
                  <c:v>30</c:v>
                </c:pt>
                <c:pt idx="10">
                  <c:v>40</c:v>
                </c:pt>
                <c:pt idx="11">
                  <c:v>32</c:v>
                </c:pt>
                <c:pt idx="12">
                  <c:v>34</c:v>
                </c:pt>
                <c:pt idx="13">
                  <c:v>32</c:v>
                </c:pt>
                <c:pt idx="14">
                  <c:v>34</c:v>
                </c:pt>
                <c:pt idx="15">
                  <c:v>37</c:v>
                </c:pt>
                <c:pt idx="16">
                  <c:v>38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37</c:v>
                </c:pt>
                <c:pt idx="21">
                  <c:v>36</c:v>
                </c:pt>
                <c:pt idx="22">
                  <c:v>45</c:v>
                </c:pt>
                <c:pt idx="23">
                  <c:v>39</c:v>
                </c:pt>
                <c:pt idx="24">
                  <c:v>41</c:v>
                </c:pt>
                <c:pt idx="25">
                  <c:v>40</c:v>
                </c:pt>
                <c:pt idx="26">
                  <c:v>44</c:v>
                </c:pt>
                <c:pt idx="27">
                  <c:v>37</c:v>
                </c:pt>
                <c:pt idx="28">
                  <c:v>44</c:v>
                </c:pt>
                <c:pt idx="29">
                  <c:v>46</c:v>
                </c:pt>
                <c:pt idx="30">
                  <c:v>46</c:v>
                </c:pt>
                <c:pt idx="31">
                  <c:v>49</c:v>
                </c:pt>
                <c:pt idx="32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2A-4539-9764-370CC8EB8524}"/>
            </c:ext>
          </c:extLst>
        </c:ser>
        <c:ser>
          <c:idx val="1"/>
          <c:order val="1"/>
          <c:tx>
            <c:v>Predicted Oxygen Demand Reduction, y (%)</c:v>
          </c:tx>
          <c:spPr>
            <a:ln w="19050">
              <a:noFill/>
            </a:ln>
          </c:spPr>
          <c:xVal>
            <c:numRef>
              <c:f>Regression!$A$2:$A$34</c:f>
              <c:numCache>
                <c:formatCode>General</c:formatCode>
                <c:ptCount val="33"/>
                <c:pt idx="0">
                  <c:v>3</c:v>
                </c:pt>
                <c:pt idx="1">
                  <c:v>7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27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31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33</c:v>
                </c:pt>
                <c:pt idx="14">
                  <c:v>34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50</c:v>
                </c:pt>
              </c:numCache>
            </c:numRef>
          </c:xVal>
          <c:yVal>
            <c:numRef>
              <c:f>Regression!$G$32:$G$64</c:f>
              <c:numCache>
                <c:formatCode>General</c:formatCode>
                <c:ptCount val="33"/>
                <c:pt idx="0">
                  <c:v>6.5405628293266558</c:v>
                </c:pt>
                <c:pt idx="1">
                  <c:v>10.155135671643951</c:v>
                </c:pt>
                <c:pt idx="2">
                  <c:v>13.769708513961247</c:v>
                </c:pt>
                <c:pt idx="3">
                  <c:v>17.384281356278542</c:v>
                </c:pt>
                <c:pt idx="4">
                  <c:v>20.095210988016515</c:v>
                </c:pt>
                <c:pt idx="5">
                  <c:v>28.227999883230428</c:v>
                </c:pt>
                <c:pt idx="6">
                  <c:v>30.035286304389075</c:v>
                </c:pt>
                <c:pt idx="7">
                  <c:v>30.9389295149684</c:v>
                </c:pt>
                <c:pt idx="8">
                  <c:v>30.9389295149684</c:v>
                </c:pt>
                <c:pt idx="9">
                  <c:v>31.842572725547722</c:v>
                </c:pt>
                <c:pt idx="10">
                  <c:v>31.842572725547722</c:v>
                </c:pt>
                <c:pt idx="11">
                  <c:v>32.746215936127044</c:v>
                </c:pt>
                <c:pt idx="12">
                  <c:v>33.649859146706376</c:v>
                </c:pt>
                <c:pt idx="13">
                  <c:v>33.649859146706376</c:v>
                </c:pt>
                <c:pt idx="14">
                  <c:v>34.553502357285694</c:v>
                </c:pt>
                <c:pt idx="15">
                  <c:v>36.360788778444345</c:v>
                </c:pt>
                <c:pt idx="16">
                  <c:v>36.360788778444345</c:v>
                </c:pt>
                <c:pt idx="17">
                  <c:v>36.360788778444345</c:v>
                </c:pt>
                <c:pt idx="18">
                  <c:v>37.264431989023663</c:v>
                </c:pt>
                <c:pt idx="19">
                  <c:v>38.168075199602988</c:v>
                </c:pt>
                <c:pt idx="20">
                  <c:v>39.071718410182314</c:v>
                </c:pt>
                <c:pt idx="21">
                  <c:v>39.071718410182314</c:v>
                </c:pt>
                <c:pt idx="22">
                  <c:v>39.071718410182314</c:v>
                </c:pt>
                <c:pt idx="23">
                  <c:v>39.975361620761639</c:v>
                </c:pt>
                <c:pt idx="24">
                  <c:v>40.879004831340964</c:v>
                </c:pt>
                <c:pt idx="25">
                  <c:v>41.782648041920282</c:v>
                </c:pt>
                <c:pt idx="26">
                  <c:v>41.782648041920282</c:v>
                </c:pt>
                <c:pt idx="27">
                  <c:v>42.686291252499608</c:v>
                </c:pt>
                <c:pt idx="28">
                  <c:v>43.589934463078933</c:v>
                </c:pt>
                <c:pt idx="29">
                  <c:v>44.493577673658258</c:v>
                </c:pt>
                <c:pt idx="30">
                  <c:v>45.397220884237584</c:v>
                </c:pt>
                <c:pt idx="31">
                  <c:v>46.300864094816902</c:v>
                </c:pt>
                <c:pt idx="32">
                  <c:v>49.011793726554878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2A-4539-9764-370CC8EB8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623759"/>
        <c:axId val="9431087"/>
      </c:scatterChart>
      <c:valAx>
        <c:axId val="1326623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Solids Reduction, x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31087"/>
        <c:crosses val="autoZero"/>
        <c:crossBetween val="midCat"/>
      </c:valAx>
      <c:valAx>
        <c:axId val="9431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Oxygen Demand Reduction, y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66237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A468B8C-4C91-4F05-97B4-DFAC393A0FCA}"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107332A9-F40D-4A70-B205-E05761EF200C}">
          <cx:axisId val="2"/>
        </cx:series>
      </cx:plotAreaRegion>
      <cx:axis id="0">
        <cx:catScaling gapWidth="0"/>
        <cx:tickLabels/>
      </cx:axis>
      <cx:axis id="1">
        <cx:valScaling/>
        <cx:title/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/>
    <cx:plotArea>
      <cx:plotAreaRegion>
        <cx:series layoutId="boxWhisker" uniqueId="{0FCB2428-A784-4E83-AB38-26B0E43632DC}">
          <cx:tx>
            <cx:txData>
              <cx:f>_xlchart.v1.2</cx:f>
              <cx:v>Alloy 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93CF12F-2299-483D-9102-37BCCA221041}">
          <cx:tx>
            <cx:txData>
              <cx:f>_xlchart.v1.4</cx:f>
              <cx:v>Alloy 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95" min="7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_xlchart.v1.28</cx:f>
      </cx:numDim>
    </cx:data>
    <cx:data id="2">
      <cx:numDim type="val">
        <cx:f>_xlchart.v1.29</cx:f>
      </cx:numDim>
    </cx:data>
    <cx:data id="3">
      <cx:numDim type="val">
        <cx:f>_xlchart.v1.30</cx:f>
      </cx:numDim>
    </cx:data>
    <cx:data id="4">
      <cx:numDim type="val">
        <cx:f>_xlchart.v1.31</cx:f>
      </cx:numDim>
    </cx:data>
    <cx:data id="5">
      <cx:numDim type="val">
        <cx:f>_xlchart.v1.32</cx:f>
      </cx:numDim>
    </cx:data>
    <cx:data id="6">
      <cx:numDim type="val">
        <cx:f>_xlchart.v1.33</cx:f>
      </cx:numDim>
    </cx:data>
    <cx:data id="7">
      <cx:numDim type="val">
        <cx:f>_xlchart.v1.34</cx:f>
      </cx:numDim>
    </cx:data>
    <cx:data id="8">
      <cx:numDim type="val">
        <cx:f>_xlchart.v1.35</cx:f>
      </cx:numDim>
    </cx:data>
    <cx:data id="9">
      <cx:numDim type="val">
        <cx:f>_xlchart.v1.36</cx:f>
      </cx:numDim>
    </cx:data>
    <cx:data id="10">
      <cx:numDim type="val">
        <cx:f>_xlchart.v1.37</cx:f>
      </cx:numDim>
    </cx:data>
    <cx:data id="11">
      <cx:numDim type="val">
        <cx:f>_xlchart.v1.38</cx:f>
      </cx:numDim>
    </cx:data>
    <cx:data id="12">
      <cx:numDim type="val">
        <cx:f>_xlchart.v1.39</cx:f>
      </cx:numDim>
    </cx:data>
    <cx:data id="13">
      <cx:numDim type="val">
        <cx:f>_xlchart.v1.40</cx:f>
      </cx:numDim>
    </cx:data>
    <cx:data id="14">
      <cx:numDim type="val">
        <cx:f>_xlchart.v1.41</cx:f>
      </cx:numDim>
    </cx:data>
    <cx:data id="15">
      <cx:numDim type="val">
        <cx:f>_xlchart.v1.42</cx:f>
      </cx:numDim>
    </cx:data>
    <cx:data id="16">
      <cx:numDim type="val">
        <cx:f>_xlchart.v1.43</cx:f>
      </cx:numDim>
    </cx:data>
    <cx:data id="17">
      <cx:numDim type="val">
        <cx:f>_xlchart.v1.44</cx:f>
      </cx:numDim>
    </cx:data>
    <cx:data id="18">
      <cx:numDim type="val">
        <cx:f>_xlchart.v1.45</cx:f>
      </cx:numDim>
    </cx:data>
    <cx:data id="19">
      <cx:numDim type="val">
        <cx:f>_xlchart.v1.46</cx:f>
      </cx:numDim>
    </cx:data>
    <cx:data id="20">
      <cx:numDim type="val">
        <cx:f>_xlchart.v1.47</cx:f>
      </cx:numDim>
    </cx:data>
    <cx:data id="21">
      <cx:numDim type="val">
        <cx:f>_xlchart.v1.48</cx:f>
      </cx:numDim>
    </cx:data>
    <cx:data id="22">
      <cx:numDim type="val">
        <cx:f>_xlchart.v1.49</cx:f>
      </cx:numDim>
    </cx:data>
    <cx:data id="23">
      <cx:numDim type="val">
        <cx:f>_xlchart.v1.50</cx:f>
      </cx:numDim>
    </cx:data>
    <cx:data id="24">
      <cx:numDim type="val">
        <cx:f>_xlchart.v1.6</cx:f>
      </cx:numDim>
    </cx:data>
    <cx:data id="25">
      <cx:numDim type="val">
        <cx:f>_xlchart.v1.7</cx:f>
      </cx:numDim>
    </cx:data>
    <cx:data id="26">
      <cx:numDim type="val">
        <cx:f>_xlchart.v1.8</cx:f>
      </cx:numDim>
    </cx:data>
    <cx:data id="27">
      <cx:numDim type="val">
        <cx:f>_xlchart.v1.9</cx:f>
      </cx:numDim>
    </cx:data>
    <cx:data id="28">
      <cx:numDim type="val">
        <cx:f>_xlchart.v1.10</cx:f>
      </cx:numDim>
    </cx:data>
    <cx:data id="29">
      <cx:numDim type="val">
        <cx:f>_xlchart.v1.11</cx:f>
      </cx:numDim>
    </cx:data>
    <cx:data id="30">
      <cx:numDim type="val">
        <cx:f>_xlchart.v1.12</cx:f>
      </cx:numDim>
    </cx:data>
    <cx:data id="31">
      <cx:numDim type="val">
        <cx:f>_xlchart.v1.13</cx:f>
      </cx:numDim>
    </cx:data>
    <cx:data id="32">
      <cx:numDim type="val">
        <cx:f>_xlchart.v1.14</cx:f>
      </cx:numDim>
    </cx:data>
    <cx:data id="33">
      <cx:numDim type="val">
        <cx:f>_xlchart.v1.15</cx:f>
      </cx:numDim>
    </cx:data>
    <cx:data id="34">
      <cx:numDim type="val">
        <cx:f>_xlchart.v1.16</cx:f>
      </cx:numDim>
    </cx:data>
    <cx:data id="35">
      <cx:numDim type="val">
        <cx:f>_xlchart.v1.17</cx:f>
      </cx:numDim>
    </cx:data>
    <cx:data id="36">
      <cx:numDim type="val">
        <cx:f>_xlchart.v1.18</cx:f>
      </cx:numDim>
    </cx:data>
    <cx:data id="37">
      <cx:numDim type="val">
        <cx:f>_xlchart.v1.19</cx:f>
      </cx:numDim>
    </cx:data>
    <cx:data id="38">
      <cx:numDim type="val">
        <cx:f>_xlchart.v1.20</cx:f>
      </cx:numDim>
    </cx:data>
    <cx:data id="39">
      <cx:numDim type="val">
        <cx:f>_xlchart.v1.21</cx:f>
      </cx:numDim>
    </cx:data>
    <cx:data id="40">
      <cx:numDim type="val">
        <cx:f>_xlchart.v1.22</cx:f>
      </cx:numDim>
    </cx:data>
    <cx:data id="41">
      <cx:numDim type="val">
        <cx:f>_xlchart.v1.23</cx:f>
      </cx:numDim>
    </cx:data>
    <cx:data id="42">
      <cx:numDim type="val">
        <cx:f>_xlchart.v1.24</cx:f>
      </cx:numDim>
    </cx:data>
    <cx:data id="43">
      <cx:numDim type="val">
        <cx:f>_xlchart.v1.25</cx:f>
      </cx:numDim>
    </cx:data>
    <cx:data id="44">
      <cx:numDim type="val">
        <cx:f>_xlchart.v1.26</cx:f>
      </cx:numDim>
    </cx:data>
  </cx:chartData>
  <cx:chart>
    <cx:title pos="t" align="ctr" overlay="0"/>
    <cx:plotArea>
      <cx:plotAreaRegion>
        <cx:series layoutId="boxWhisker" uniqueId="{5F6AA905-87A8-4A32-86D0-51D95F6DAC7C}">
          <cx:dataId val="0"/>
          <cx:layoutPr>
            <cx:statistics quartileMethod="exclusive"/>
          </cx:layoutPr>
        </cx:series>
        <cx:series layoutId="boxWhisker" uniqueId="{60D6E5AC-1BAD-4ED5-9B6F-74FA01BF0D4C}">
          <cx:dataId val="1"/>
          <cx:layoutPr>
            <cx:statistics quartileMethod="exclusive"/>
          </cx:layoutPr>
        </cx:series>
        <cx:series layoutId="boxWhisker" uniqueId="{A22984A1-16D6-4107-92D5-2CB9E294F1F2}">
          <cx:dataId val="2"/>
          <cx:layoutPr>
            <cx:statistics quartileMethod="exclusive"/>
          </cx:layoutPr>
        </cx:series>
        <cx:series layoutId="boxWhisker" uniqueId="{A8BF7172-C6F1-49C2-903D-27C4353E54F2}">
          <cx:dataId val="3"/>
          <cx:layoutPr>
            <cx:statistics quartileMethod="exclusive"/>
          </cx:layoutPr>
        </cx:series>
        <cx:series layoutId="boxWhisker" uniqueId="{6CA47CED-3F0A-47FF-AE9A-110A74F33B40}">
          <cx:dataId val="4"/>
          <cx:layoutPr>
            <cx:statistics quartileMethod="exclusive"/>
          </cx:layoutPr>
        </cx:series>
        <cx:series layoutId="boxWhisker" uniqueId="{51B1172E-ECB3-48F0-8D12-DB77D3EE05E3}">
          <cx:dataId val="5"/>
          <cx:layoutPr>
            <cx:statistics quartileMethod="exclusive"/>
          </cx:layoutPr>
        </cx:series>
        <cx:series layoutId="boxWhisker" uniqueId="{E6B8589B-1FC1-4D65-A940-EC689B01240E}">
          <cx:dataId val="6"/>
          <cx:layoutPr>
            <cx:statistics quartileMethod="exclusive"/>
          </cx:layoutPr>
        </cx:series>
        <cx:series layoutId="boxWhisker" uniqueId="{333F1256-D907-4651-B6C4-5702CECF1115}">
          <cx:dataId val="7"/>
          <cx:layoutPr>
            <cx:statistics quartileMethod="exclusive"/>
          </cx:layoutPr>
        </cx:series>
        <cx:series layoutId="boxWhisker" uniqueId="{C1053B5F-D8FD-4838-A58A-D4049644CAB5}">
          <cx:dataId val="8"/>
          <cx:layoutPr>
            <cx:statistics quartileMethod="exclusive"/>
          </cx:layoutPr>
        </cx:series>
        <cx:series layoutId="boxWhisker" uniqueId="{4FF66037-EED4-4D00-A9D1-99AD4DC90ABB}">
          <cx:dataId val="9"/>
          <cx:layoutPr>
            <cx:statistics quartileMethod="exclusive"/>
          </cx:layoutPr>
        </cx:series>
        <cx:series layoutId="boxWhisker" uniqueId="{7F13A173-45BB-4E7D-864B-8A4FDBDC3960}">
          <cx:dataId val="10"/>
          <cx:layoutPr>
            <cx:statistics quartileMethod="exclusive"/>
          </cx:layoutPr>
        </cx:series>
        <cx:series layoutId="boxWhisker" uniqueId="{D76A3AF2-5EA8-4952-AF77-8E42CEE78150}">
          <cx:dataId val="11"/>
          <cx:layoutPr>
            <cx:statistics quartileMethod="exclusive"/>
          </cx:layoutPr>
        </cx:series>
        <cx:series layoutId="boxWhisker" uniqueId="{3F0F726E-9FEC-4A04-B1FC-B82E2EB3DED3}">
          <cx:dataId val="12"/>
          <cx:layoutPr>
            <cx:statistics quartileMethod="exclusive"/>
          </cx:layoutPr>
        </cx:series>
        <cx:series layoutId="boxWhisker" uniqueId="{648D3CA8-0A29-480F-BC72-8C605FA26BD3}">
          <cx:dataId val="13"/>
          <cx:layoutPr>
            <cx:statistics quartileMethod="exclusive"/>
          </cx:layoutPr>
        </cx:series>
        <cx:series layoutId="boxWhisker" uniqueId="{0332CF0F-FCA3-45C3-8AC1-285A098ECC96}">
          <cx:dataId val="14"/>
          <cx:layoutPr>
            <cx:statistics quartileMethod="exclusive"/>
          </cx:layoutPr>
        </cx:series>
        <cx:series layoutId="boxWhisker" uniqueId="{9B0EC431-B271-4A66-A061-0000D85D558C}">
          <cx:dataId val="15"/>
          <cx:layoutPr>
            <cx:statistics quartileMethod="exclusive"/>
          </cx:layoutPr>
        </cx:series>
        <cx:series layoutId="boxWhisker" uniqueId="{47E1A2A0-AE01-409A-8E90-855085AC6ABB}">
          <cx:dataId val="16"/>
          <cx:layoutPr>
            <cx:statistics quartileMethod="exclusive"/>
          </cx:layoutPr>
        </cx:series>
        <cx:series layoutId="boxWhisker" uniqueId="{15FDD49C-488B-4B62-9ECF-AD2BC97C6874}">
          <cx:dataId val="17"/>
          <cx:layoutPr>
            <cx:statistics quartileMethod="exclusive"/>
          </cx:layoutPr>
        </cx:series>
        <cx:series layoutId="boxWhisker" uniqueId="{E10B0BAF-C53C-4395-839C-1F75340FC39B}">
          <cx:dataId val="18"/>
          <cx:layoutPr>
            <cx:statistics quartileMethod="exclusive"/>
          </cx:layoutPr>
        </cx:series>
        <cx:series layoutId="boxWhisker" uniqueId="{8F2AD836-A10D-43C6-926A-B4F9398EA4E0}">
          <cx:dataId val="19"/>
          <cx:layoutPr>
            <cx:statistics quartileMethod="exclusive"/>
          </cx:layoutPr>
        </cx:series>
        <cx:series layoutId="boxWhisker" uniqueId="{0BEF83E0-1D79-4A27-ABB0-6030F6F0339E}">
          <cx:dataId val="20"/>
          <cx:layoutPr>
            <cx:statistics quartileMethod="exclusive"/>
          </cx:layoutPr>
        </cx:series>
        <cx:series layoutId="boxWhisker" uniqueId="{2A96DCCD-7B10-4472-91A3-1318F8C86892}">
          <cx:dataId val="21"/>
          <cx:layoutPr>
            <cx:statistics quartileMethod="exclusive"/>
          </cx:layoutPr>
        </cx:series>
        <cx:series layoutId="boxWhisker" uniqueId="{CBB64FD0-7176-49B7-B061-7F08259F1ACC}">
          <cx:dataId val="22"/>
          <cx:layoutPr>
            <cx:statistics quartileMethod="exclusive"/>
          </cx:layoutPr>
        </cx:series>
        <cx:series layoutId="boxWhisker" uniqueId="{01F6B24E-A8E8-4D68-B839-E16C5F0E90C7}">
          <cx:dataId val="23"/>
          <cx:layoutPr>
            <cx:statistics quartileMethod="exclusive"/>
          </cx:layoutPr>
        </cx:series>
        <cx:series layoutId="boxWhisker" uniqueId="{0BCA18B0-2708-4C3C-90F7-953D4526CE1B}">
          <cx:dataId val="24"/>
          <cx:layoutPr>
            <cx:statistics quartileMethod="exclusive"/>
          </cx:layoutPr>
        </cx:series>
        <cx:series layoutId="boxWhisker" uniqueId="{B77034EC-A77A-40C2-9665-DDFDA87BC224}">
          <cx:dataId val="25"/>
          <cx:layoutPr>
            <cx:statistics quartileMethod="exclusive"/>
          </cx:layoutPr>
        </cx:series>
        <cx:series layoutId="boxWhisker" uniqueId="{7D3D1B2D-ACCA-42E2-9A92-5FC39752D18C}">
          <cx:dataId val="26"/>
          <cx:layoutPr>
            <cx:statistics quartileMethod="exclusive"/>
          </cx:layoutPr>
        </cx:series>
        <cx:series layoutId="boxWhisker" uniqueId="{85739769-4BE4-46D6-ACA8-BA1B720EB90F}">
          <cx:dataId val="27"/>
          <cx:layoutPr>
            <cx:statistics quartileMethod="exclusive"/>
          </cx:layoutPr>
        </cx:series>
        <cx:series layoutId="boxWhisker" uniqueId="{7DEB6088-90F9-43CE-A1D7-EE60CAE09F9A}">
          <cx:dataId val="28"/>
          <cx:layoutPr>
            <cx:statistics quartileMethod="exclusive"/>
          </cx:layoutPr>
        </cx:series>
        <cx:series layoutId="boxWhisker" uniqueId="{77BA388B-DA9F-4318-9152-298B31E0FAAB}">
          <cx:dataId val="29"/>
          <cx:layoutPr>
            <cx:statistics quartileMethod="exclusive"/>
          </cx:layoutPr>
        </cx:series>
        <cx:series layoutId="boxWhisker" uniqueId="{E82287A2-5BD0-4D8F-A877-A47A66357F6E}">
          <cx:dataId val="30"/>
          <cx:layoutPr>
            <cx:statistics quartileMethod="exclusive"/>
          </cx:layoutPr>
        </cx:series>
        <cx:series layoutId="boxWhisker" uniqueId="{CAA71D40-1FFF-4FBB-999F-08CDFA3D96B6}">
          <cx:dataId val="31"/>
          <cx:layoutPr>
            <cx:statistics quartileMethod="exclusive"/>
          </cx:layoutPr>
        </cx:series>
        <cx:series layoutId="boxWhisker" uniqueId="{87A27095-CD95-4B74-A7E5-591F4F78D96B}">
          <cx:dataId val="32"/>
          <cx:layoutPr>
            <cx:statistics quartileMethod="exclusive"/>
          </cx:layoutPr>
        </cx:series>
        <cx:series layoutId="boxWhisker" uniqueId="{DB767B97-5C8C-4A8C-B18F-3E540D65A256}">
          <cx:dataId val="33"/>
          <cx:layoutPr>
            <cx:statistics quartileMethod="exclusive"/>
          </cx:layoutPr>
        </cx:series>
        <cx:series layoutId="boxWhisker" uniqueId="{E9DA0A5C-55E4-44D7-A652-88842B97A344}">
          <cx:dataId val="34"/>
          <cx:layoutPr>
            <cx:statistics quartileMethod="exclusive"/>
          </cx:layoutPr>
        </cx:series>
        <cx:series layoutId="boxWhisker" uniqueId="{E7F0D3E2-B472-4BDE-B6AD-4E01B4922849}">
          <cx:dataId val="35"/>
          <cx:layoutPr>
            <cx:statistics quartileMethod="exclusive"/>
          </cx:layoutPr>
        </cx:series>
        <cx:series layoutId="boxWhisker" uniqueId="{05E840CB-2B02-499F-9BF6-66012DB829F9}">
          <cx:dataId val="36"/>
          <cx:layoutPr>
            <cx:statistics quartileMethod="exclusive"/>
          </cx:layoutPr>
        </cx:series>
        <cx:series layoutId="boxWhisker" uniqueId="{7718FE95-A6EC-4455-83CD-2BE11679F097}">
          <cx:dataId val="37"/>
          <cx:layoutPr>
            <cx:statistics quartileMethod="exclusive"/>
          </cx:layoutPr>
        </cx:series>
        <cx:series layoutId="boxWhisker" uniqueId="{17D07CFB-61E4-42E7-BCA7-F507F559099B}">
          <cx:dataId val="38"/>
          <cx:layoutPr>
            <cx:statistics quartileMethod="exclusive"/>
          </cx:layoutPr>
        </cx:series>
        <cx:series layoutId="boxWhisker" uniqueId="{671F6A2F-BCBC-4DDF-B060-169351CA61DF}">
          <cx:dataId val="39"/>
          <cx:layoutPr>
            <cx:statistics quartileMethod="exclusive"/>
          </cx:layoutPr>
        </cx:series>
        <cx:series layoutId="boxWhisker" uniqueId="{65610CA0-413C-4538-A6DD-1C5717E3704E}">
          <cx:dataId val="40"/>
          <cx:layoutPr>
            <cx:statistics quartileMethod="exclusive"/>
          </cx:layoutPr>
        </cx:series>
        <cx:series layoutId="boxWhisker" uniqueId="{0CA647A7-E483-4B6C-A3F2-E88DA0A7234E}">
          <cx:dataId val="41"/>
          <cx:layoutPr>
            <cx:statistics quartileMethod="inclusive"/>
          </cx:layoutPr>
        </cx:series>
        <cx:series layoutId="boxWhisker" uniqueId="{515B9BF8-8B78-40B0-9077-BFFDE740D4C4}">
          <cx:dataId val="42"/>
          <cx:layoutPr>
            <cx:statistics quartileMethod="exclusive"/>
          </cx:layoutPr>
        </cx:series>
        <cx:series layoutId="boxWhisker" uniqueId="{565BADDF-5480-4F48-A62D-C7443330515E}">
          <cx:dataId val="43"/>
          <cx:layoutPr>
            <cx:statistics quartileMethod="exclusive"/>
          </cx:layoutPr>
        </cx:series>
        <cx:series layoutId="boxWhisker" uniqueId="{50AFE4DE-8B48-4189-B424-E0822779A196}">
          <cx:spPr>
            <a:effectLst>
              <a:glow rad="63500">
                <a:schemeClr val="accent1">
                  <a:alpha val="40000"/>
                </a:schemeClr>
              </a:glow>
            </a:effectLst>
          </cx:spPr>
          <cx:dataId val="44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in="1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3664</xdr:colOff>
      <xdr:row>1</xdr:row>
      <xdr:rowOff>0</xdr:rowOff>
    </xdr:from>
    <xdr:to>
      <xdr:col>10</xdr:col>
      <xdr:colOff>608136</xdr:colOff>
      <xdr:row>27</xdr:row>
      <xdr:rowOff>14654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F56F8-7E49-7634-C2DC-EDE6D9C68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19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186638-9A97-F043-2D58-7B3397CCB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688730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7C3D5F3-6DE9-2E4A-DFCC-2442A54DAD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5775" y="180975"/>
              <a:ext cx="6337055" cy="3943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KE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582490</xdr:colOff>
      <xdr:row>24</xdr:row>
      <xdr:rowOff>168520</xdr:rowOff>
    </xdr:from>
    <xdr:to>
      <xdr:col>7</xdr:col>
      <xdr:colOff>124558</xdr:colOff>
      <xdr:row>45</xdr:row>
      <xdr:rowOff>137013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90981C-EE56-E8CB-0B8F-E304FD1276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0815" y="4559545"/>
              <a:ext cx="3113943" cy="39213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KE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25</xdr:row>
      <xdr:rowOff>2198</xdr:rowOff>
    </xdr:from>
    <xdr:to>
      <xdr:col>15</xdr:col>
      <xdr:colOff>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7B36A1-6CD3-6755-BB69-5283C6973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</xdr:colOff>
      <xdr:row>41</xdr:row>
      <xdr:rowOff>0</xdr:rowOff>
    </xdr:from>
    <xdr:to>
      <xdr:col>15</xdr:col>
      <xdr:colOff>0</xdr:colOff>
      <xdr:row>57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C525CD-57D4-A00C-910A-57084DCF3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20</xdr:row>
      <xdr:rowOff>1</xdr:rowOff>
    </xdr:from>
    <xdr:to>
      <xdr:col>22</xdr:col>
      <xdr:colOff>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B36D31-B217-5594-5DC6-A62EB83DD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681405</xdr:colOff>
      <xdr:row>2</xdr:row>
      <xdr:rowOff>373673</xdr:rowOff>
    </xdr:from>
    <xdr:to>
      <xdr:col>21</xdr:col>
      <xdr:colOff>681405</xdr:colOff>
      <xdr:row>18</xdr:row>
      <xdr:rowOff>175847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7D24B-7EE9-18BC-AF90-E453A6D22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29292</xdr:colOff>
      <xdr:row>53</xdr:row>
      <xdr:rowOff>14653</xdr:rowOff>
    </xdr:from>
    <xdr:to>
      <xdr:col>18</xdr:col>
      <xdr:colOff>578825</xdr:colOff>
      <xdr:row>82</xdr:row>
      <xdr:rowOff>65942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0E95724-F3B1-D501-0520-E2F44BF210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92" y="9834928"/>
              <a:ext cx="13122533" cy="54805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KE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849921</xdr:colOff>
      <xdr:row>0</xdr:row>
      <xdr:rowOff>0</xdr:rowOff>
    </xdr:from>
    <xdr:to>
      <xdr:col>20</xdr:col>
      <xdr:colOff>688729</xdr:colOff>
      <xdr:row>18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BAD47-7A40-40A1-540D-F65765AA7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395654</xdr:colOff>
      <xdr:row>49</xdr:row>
      <xdr:rowOff>38832</xdr:rowOff>
    </xdr:from>
    <xdr:to>
      <xdr:col>23</xdr:col>
      <xdr:colOff>146539</xdr:colOff>
      <xdr:row>64</xdr:row>
      <xdr:rowOff>34436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36720-45A7-0F65-DC58-F6724AA9A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304799</xdr:colOff>
      <xdr:row>74</xdr:row>
      <xdr:rowOff>62280</xdr:rowOff>
    </xdr:from>
    <xdr:to>
      <xdr:col>6</xdr:col>
      <xdr:colOff>561242</xdr:colOff>
      <xdr:row>84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58BF8-0174-AF36-483F-73F4C1246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400050</xdr:colOff>
      <xdr:row>2</xdr:row>
      <xdr:rowOff>161925</xdr:rowOff>
    </xdr:from>
    <xdr:to>
      <xdr:col>20</xdr:col>
      <xdr:colOff>400050</xdr:colOff>
      <xdr:row>12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38A38E-EB83-3CCE-BDF9-B0AD0472F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55.46638125" createdVersion="8" refreshedVersion="8" minRefreshableVersion="3" recordCount="280" xr:uid="{CBF65F47-6779-4AF2-BB78-1F94A511B457}">
  <cacheSource type="worksheet">
    <worksheetSource name="Apple_Data"/>
  </cacheSource>
  <cacheFields count="3">
    <cacheField name="Year" numFmtId="0">
      <sharedItems containsSemiMixedTypes="0" containsString="0" containsNumber="1" containsInteger="1" minValue="2014" maxValue="2023" count="10">
        <n v="2023"/>
        <n v="2022"/>
        <n v="2021"/>
        <n v="2020"/>
        <n v="2019"/>
        <n v="2018"/>
        <n v="2017"/>
        <n v="2016"/>
        <n v="2015"/>
        <n v="2014"/>
      </sharedItems>
    </cacheField>
    <cacheField name="Value" numFmtId="0">
      <sharedItems containsSemiMixedTypes="0" containsString="0" containsNumber="1" minValue="-9.2999999999999999E-2" maxValue="2676737"/>
    </cacheField>
    <cacheField name="Matrice" numFmtId="0">
      <sharedItems count="28">
        <s v="Market Capitalization"/>
        <s v="Market Cap Growth"/>
        <s v="Enterprise Value"/>
        <s v="PE Ratio"/>
        <s v="PS Ratio"/>
        <s v="PB Ratio"/>
        <s v="P/FCF Ratio"/>
        <s v="P/OCF Ratio"/>
        <s v="EV/Sales Ratio"/>
        <s v="EV/EBITDA Ratio"/>
        <s v="EV/EBIT Ratio"/>
        <s v="EV/FCF Ratio"/>
        <s v="Debt / Equity Ratio"/>
        <s v="Debt / EBITDA Ratio"/>
        <s v="Debt / FCF Ratio"/>
        <s v="Quick Ratio"/>
        <s v="Current Ratio"/>
        <s v="Asset Turnover"/>
        <s v="Interest Coverage"/>
        <s v="Return on Equity (ROE)"/>
        <s v="Return on Assets (ROA)"/>
        <s v="Return on Capital (ROIC)"/>
        <s v="Earnings Yield"/>
        <s v="FCF Yield"/>
        <s v="Dividend Yield"/>
        <s v="Payout Ratio"/>
        <s v="Buyback Yield / Dilution"/>
        <s v="Total Shareholder Retur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0">
  <r>
    <x v="0"/>
    <n v="2676737"/>
    <x v="0"/>
  </r>
  <r>
    <x v="1"/>
    <n v="2417523"/>
    <x v="0"/>
  </r>
  <r>
    <x v="2"/>
    <n v="2428612"/>
    <x v="0"/>
  </r>
  <r>
    <x v="3"/>
    <n v="1920273"/>
    <x v="0"/>
  </r>
  <r>
    <x v="4"/>
    <n v="988887"/>
    <x v="0"/>
  </r>
  <r>
    <x v="5"/>
    <n v="1090307"/>
    <x v="0"/>
  </r>
  <r>
    <x v="6"/>
    <n v="796065"/>
    <x v="0"/>
  </r>
  <r>
    <x v="7"/>
    <n v="607331"/>
    <x v="0"/>
  </r>
  <r>
    <x v="8"/>
    <n v="654159"/>
    <x v="0"/>
  </r>
  <r>
    <x v="9"/>
    <n v="603278"/>
    <x v="0"/>
  </r>
  <r>
    <x v="0"/>
    <n v="0.1072"/>
    <x v="1"/>
  </r>
  <r>
    <x v="1"/>
    <n v="-4.5999999999999999E-3"/>
    <x v="1"/>
  </r>
  <r>
    <x v="2"/>
    <n v="0.26469999999999999"/>
    <x v="1"/>
  </r>
  <r>
    <x v="3"/>
    <n v="0.94189999999999996"/>
    <x v="1"/>
  </r>
  <r>
    <x v="4"/>
    <n v="-9.2999999999999999E-2"/>
    <x v="1"/>
  </r>
  <r>
    <x v="5"/>
    <n v="0.36959999999999998"/>
    <x v="1"/>
  </r>
  <r>
    <x v="6"/>
    <n v="0.31080000000000002"/>
    <x v="1"/>
  </r>
  <r>
    <x v="7"/>
    <n v="-7.1599999999999997E-2"/>
    <x v="1"/>
  </r>
  <r>
    <x v="8"/>
    <n v="8.43E-2"/>
    <x v="1"/>
  </r>
  <r>
    <x v="9"/>
    <n v="0.3755"/>
    <x v="1"/>
  </r>
  <r>
    <x v="0"/>
    <n v="2625726"/>
    <x v="2"/>
  </r>
  <r>
    <x v="1"/>
    <n v="2368483"/>
    <x v="2"/>
  </r>
  <r>
    <x v="2"/>
    <n v="2362815"/>
    <x v="2"/>
  </r>
  <r>
    <x v="3"/>
    <n v="1840879"/>
    <x v="2"/>
  </r>
  <r>
    <x v="4"/>
    <n v="891036"/>
    <x v="2"/>
  </r>
  <r>
    <x v="5"/>
    <n v="967690"/>
    <x v="2"/>
  </r>
  <r>
    <x v="6"/>
    <n v="642850"/>
    <x v="2"/>
  </r>
  <r>
    <x v="7"/>
    <n v="456778"/>
    <x v="2"/>
  </r>
  <r>
    <x v="8"/>
    <n v="512821"/>
    <x v="2"/>
  </r>
  <r>
    <x v="9"/>
    <n v="483334"/>
    <x v="2"/>
  </r>
  <r>
    <x v="0"/>
    <n v="27.6"/>
    <x v="3"/>
  </r>
  <r>
    <x v="1"/>
    <n v="24.22"/>
    <x v="3"/>
  </r>
  <r>
    <x v="2"/>
    <n v="25.65"/>
    <x v="3"/>
  </r>
  <r>
    <x v="3"/>
    <n v="33.450000000000003"/>
    <x v="3"/>
  </r>
  <r>
    <x v="4"/>
    <n v="17.899999999999999"/>
    <x v="3"/>
  </r>
  <r>
    <x v="5"/>
    <n v="18.32"/>
    <x v="3"/>
  </r>
  <r>
    <x v="6"/>
    <n v="16.46"/>
    <x v="3"/>
  </r>
  <r>
    <x v="7"/>
    <n v="13.29"/>
    <x v="3"/>
  </r>
  <r>
    <x v="8"/>
    <n v="12.25"/>
    <x v="3"/>
  </r>
  <r>
    <x v="9"/>
    <n v="15.27"/>
    <x v="3"/>
  </r>
  <r>
    <x v="0"/>
    <n v="6.98"/>
    <x v="4"/>
  </r>
  <r>
    <x v="1"/>
    <n v="6.13"/>
    <x v="4"/>
  </r>
  <r>
    <x v="2"/>
    <n v="6.64"/>
    <x v="4"/>
  </r>
  <r>
    <x v="3"/>
    <n v="7"/>
    <x v="4"/>
  </r>
  <r>
    <x v="4"/>
    <n v="3.8"/>
    <x v="4"/>
  </r>
  <r>
    <x v="5"/>
    <n v="4.1100000000000003"/>
    <x v="4"/>
  </r>
  <r>
    <x v="6"/>
    <n v="3.47"/>
    <x v="4"/>
  </r>
  <r>
    <x v="7"/>
    <n v="2.82"/>
    <x v="4"/>
  </r>
  <r>
    <x v="8"/>
    <n v="2.8"/>
    <x v="4"/>
  </r>
  <r>
    <x v="9"/>
    <n v="3.3"/>
    <x v="4"/>
  </r>
  <r>
    <x v="0"/>
    <n v="43.07"/>
    <x v="5"/>
  </r>
  <r>
    <x v="1"/>
    <n v="47.71"/>
    <x v="5"/>
  </r>
  <r>
    <x v="2"/>
    <n v="38.49"/>
    <x v="5"/>
  </r>
  <r>
    <x v="3"/>
    <n v="29.39"/>
    <x v="5"/>
  </r>
  <r>
    <x v="4"/>
    <n v="10.93"/>
    <x v="5"/>
  </r>
  <r>
    <x v="5"/>
    <n v="10.18"/>
    <x v="5"/>
  </r>
  <r>
    <x v="6"/>
    <n v="5.94"/>
    <x v="5"/>
  </r>
  <r>
    <x v="7"/>
    <n v="4.74"/>
    <x v="5"/>
  </r>
  <r>
    <x v="8"/>
    <n v="5.48"/>
    <x v="5"/>
  </r>
  <r>
    <x v="9"/>
    <n v="5.41"/>
    <x v="5"/>
  </r>
  <r>
    <x v="0"/>
    <n v="26.88"/>
    <x v="6"/>
  </r>
  <r>
    <x v="1"/>
    <n v="21.69"/>
    <x v="6"/>
  </r>
  <r>
    <x v="2"/>
    <n v="26.13"/>
    <x v="6"/>
  </r>
  <r>
    <x v="3"/>
    <n v="26.17"/>
    <x v="6"/>
  </r>
  <r>
    <x v="4"/>
    <n v="16.79"/>
    <x v="6"/>
  </r>
  <r>
    <x v="5"/>
    <n v="17"/>
    <x v="6"/>
  </r>
  <r>
    <x v="6"/>
    <n v="15.38"/>
    <x v="6"/>
  </r>
  <r>
    <x v="7"/>
    <n v="11.35"/>
    <x v="6"/>
  </r>
  <r>
    <x v="8"/>
    <n v="9.3699999999999992"/>
    <x v="6"/>
  </r>
  <r>
    <x v="9"/>
    <n v="12.09"/>
    <x v="6"/>
  </r>
  <r>
    <x v="0"/>
    <n v="24.21"/>
    <x v="7"/>
  </r>
  <r>
    <x v="1"/>
    <n v="19.79"/>
    <x v="7"/>
  </r>
  <r>
    <x v="2"/>
    <n v="23.34"/>
    <x v="7"/>
  </r>
  <r>
    <x v="3"/>
    <n v="23.8"/>
    <x v="7"/>
  </r>
  <r>
    <x v="4"/>
    <n v="14.25"/>
    <x v="7"/>
  </r>
  <r>
    <x v="5"/>
    <n v="14.08"/>
    <x v="7"/>
  </r>
  <r>
    <x v="6"/>
    <n v="12.39"/>
    <x v="7"/>
  </r>
  <r>
    <x v="7"/>
    <n v="9.17"/>
    <x v="7"/>
  </r>
  <r>
    <x v="8"/>
    <n v="8.0500000000000007"/>
    <x v="7"/>
  </r>
  <r>
    <x v="9"/>
    <n v="10.1"/>
    <x v="7"/>
  </r>
  <r>
    <x v="0"/>
    <n v="6.85"/>
    <x v="8"/>
  </r>
  <r>
    <x v="1"/>
    <n v="6.01"/>
    <x v="8"/>
  </r>
  <r>
    <x v="2"/>
    <n v="6.46"/>
    <x v="8"/>
  </r>
  <r>
    <x v="3"/>
    <n v="6.71"/>
    <x v="8"/>
  </r>
  <r>
    <x v="4"/>
    <n v="3.42"/>
    <x v="8"/>
  </r>
  <r>
    <x v="5"/>
    <n v="3.64"/>
    <x v="8"/>
  </r>
  <r>
    <x v="6"/>
    <n v="2.8"/>
    <x v="8"/>
  </r>
  <r>
    <x v="7"/>
    <n v="2.12"/>
    <x v="8"/>
  </r>
  <r>
    <x v="8"/>
    <n v="2.19"/>
    <x v="8"/>
  </r>
  <r>
    <x v="9"/>
    <n v="2.64"/>
    <x v="8"/>
  </r>
  <r>
    <x v="0"/>
    <n v="20.32"/>
    <x v="9"/>
  </r>
  <r>
    <x v="1"/>
    <n v="17.79"/>
    <x v="9"/>
  </r>
  <r>
    <x v="2"/>
    <n v="19.190000000000001"/>
    <x v="9"/>
  </r>
  <r>
    <x v="3"/>
    <n v="22.72"/>
    <x v="9"/>
  </r>
  <r>
    <x v="4"/>
    <n v="10.88"/>
    <x v="9"/>
  </r>
  <r>
    <x v="5"/>
    <n v="11.12"/>
    <x v="9"/>
  </r>
  <r>
    <x v="6"/>
    <n v="8.4"/>
    <x v="9"/>
  </r>
  <r>
    <x v="7"/>
    <n v="6.23"/>
    <x v="9"/>
  </r>
  <r>
    <x v="8"/>
    <n v="6.07"/>
    <x v="9"/>
  </r>
  <r>
    <x v="9"/>
    <n v="7.82"/>
    <x v="9"/>
  </r>
  <r>
    <x v="0"/>
    <n v="22.31"/>
    <x v="10"/>
  </r>
  <r>
    <x v="1"/>
    <n v="19.41"/>
    <x v="10"/>
  </r>
  <r>
    <x v="2"/>
    <n v="21.12"/>
    <x v="10"/>
  </r>
  <r>
    <x v="3"/>
    <n v="26.31"/>
    <x v="10"/>
  </r>
  <r>
    <x v="4"/>
    <n v="12.86"/>
    <x v="10"/>
  </r>
  <r>
    <x v="5"/>
    <n v="12.71"/>
    <x v="10"/>
  </r>
  <r>
    <x v="6"/>
    <n v="9.68"/>
    <x v="10"/>
  </r>
  <r>
    <x v="7"/>
    <n v="7.27"/>
    <x v="10"/>
  </r>
  <r>
    <x v="8"/>
    <n v="7"/>
    <x v="10"/>
  </r>
  <r>
    <x v="9"/>
    <n v="8.9700000000000006"/>
    <x v="10"/>
  </r>
  <r>
    <x v="0"/>
    <n v="26.37"/>
    <x v="11"/>
  </r>
  <r>
    <x v="1"/>
    <n v="21.25"/>
    <x v="11"/>
  </r>
  <r>
    <x v="2"/>
    <n v="25.42"/>
    <x v="11"/>
  </r>
  <r>
    <x v="3"/>
    <n v="25.09"/>
    <x v="11"/>
  </r>
  <r>
    <x v="4"/>
    <n v="15.13"/>
    <x v="11"/>
  </r>
  <r>
    <x v="5"/>
    <n v="15.09"/>
    <x v="11"/>
  </r>
  <r>
    <x v="6"/>
    <n v="12.42"/>
    <x v="11"/>
  </r>
  <r>
    <x v="7"/>
    <n v="8.5399999999999991"/>
    <x v="11"/>
  </r>
  <r>
    <x v="8"/>
    <n v="7.35"/>
    <x v="11"/>
  </r>
  <r>
    <x v="9"/>
    <n v="9.69"/>
    <x v="11"/>
  </r>
  <r>
    <x v="0"/>
    <n v="1.79"/>
    <x v="12"/>
  </r>
  <r>
    <x v="1"/>
    <n v="2.37"/>
    <x v="12"/>
  </r>
  <r>
    <x v="2"/>
    <n v="1.98"/>
    <x v="12"/>
  </r>
  <r>
    <x v="3"/>
    <n v="1.72"/>
    <x v="12"/>
  </r>
  <r>
    <x v="4"/>
    <n v="1.19"/>
    <x v="12"/>
  </r>
  <r>
    <x v="5"/>
    <n v="1.07"/>
    <x v="12"/>
  </r>
  <r>
    <x v="6"/>
    <n v="0.86"/>
    <x v="12"/>
  </r>
  <r>
    <x v="7"/>
    <n v="0.68"/>
    <x v="12"/>
  </r>
  <r>
    <x v="8"/>
    <n v="0.54"/>
    <x v="12"/>
  </r>
  <r>
    <x v="9"/>
    <n v="0.32"/>
    <x v="12"/>
  </r>
  <r>
    <x v="0"/>
    <n v="0.86"/>
    <x v="13"/>
  </r>
  <r>
    <x v="1"/>
    <n v="0.9"/>
    <x v="13"/>
  </r>
  <r>
    <x v="2"/>
    <n v="1.01"/>
    <x v="13"/>
  </r>
  <r>
    <x v="3"/>
    <n v="1.39"/>
    <x v="13"/>
  </r>
  <r>
    <x v="4"/>
    <n v="1.32"/>
    <x v="13"/>
  </r>
  <r>
    <x v="5"/>
    <n v="1.32"/>
    <x v="13"/>
  </r>
  <r>
    <x v="6"/>
    <n v="1.51"/>
    <x v="13"/>
  </r>
  <r>
    <x v="7"/>
    <n v="1.19"/>
    <x v="13"/>
  </r>
  <r>
    <x v="8"/>
    <n v="0.76"/>
    <x v="13"/>
  </r>
  <r>
    <x v="9"/>
    <n v="0.56999999999999995"/>
    <x v="13"/>
  </r>
  <r>
    <x v="0"/>
    <n v="1.1200000000000001"/>
    <x v="14"/>
  </r>
  <r>
    <x v="1"/>
    <n v="1.08"/>
    <x v="14"/>
  </r>
  <r>
    <x v="2"/>
    <n v="1.34"/>
    <x v="14"/>
  </r>
  <r>
    <x v="3"/>
    <n v="1.53"/>
    <x v="14"/>
  </r>
  <r>
    <x v="4"/>
    <n v="1.83"/>
    <x v="14"/>
  </r>
  <r>
    <x v="5"/>
    <n v="1.79"/>
    <x v="14"/>
  </r>
  <r>
    <x v="6"/>
    <n v="2.23"/>
    <x v="14"/>
  </r>
  <r>
    <x v="7"/>
    <n v="1.63"/>
    <x v="14"/>
  </r>
  <r>
    <x v="8"/>
    <n v="0.92"/>
    <x v="14"/>
  </r>
  <r>
    <x v="9"/>
    <n v="0.71"/>
    <x v="14"/>
  </r>
  <r>
    <x v="0"/>
    <n v="0.84"/>
    <x v="15"/>
  </r>
  <r>
    <x v="1"/>
    <n v="0.71"/>
    <x v="15"/>
  </r>
  <r>
    <x v="2"/>
    <n v="0.91"/>
    <x v="15"/>
  </r>
  <r>
    <x v="3"/>
    <n v="1.22"/>
    <x v="15"/>
  </r>
  <r>
    <x v="4"/>
    <n v="1.38"/>
    <x v="15"/>
  </r>
  <r>
    <x v="5"/>
    <n v="0.99"/>
    <x v="15"/>
  </r>
  <r>
    <x v="6"/>
    <n v="1.0900000000000001"/>
    <x v="15"/>
  </r>
  <r>
    <x v="7"/>
    <n v="1.22"/>
    <x v="15"/>
  </r>
  <r>
    <x v="8"/>
    <n v="0.89"/>
    <x v="15"/>
  </r>
  <r>
    <x v="9"/>
    <n v="0.82"/>
    <x v="15"/>
  </r>
  <r>
    <x v="0"/>
    <n v="0.99"/>
    <x v="16"/>
  </r>
  <r>
    <x v="1"/>
    <n v="0.88"/>
    <x v="16"/>
  </r>
  <r>
    <x v="2"/>
    <n v="1.08"/>
    <x v="16"/>
  </r>
  <r>
    <x v="3"/>
    <n v="1.36"/>
    <x v="16"/>
  </r>
  <r>
    <x v="4"/>
    <n v="1.54"/>
    <x v="16"/>
  </r>
  <r>
    <x v="5"/>
    <n v="1.1299999999999999"/>
    <x v="16"/>
  </r>
  <r>
    <x v="6"/>
    <n v="1.28"/>
    <x v="16"/>
  </r>
  <r>
    <x v="7"/>
    <n v="1.35"/>
    <x v="16"/>
  </r>
  <r>
    <x v="8"/>
    <n v="1.1100000000000001"/>
    <x v="16"/>
  </r>
  <r>
    <x v="9"/>
    <n v="1.08"/>
    <x v="16"/>
  </r>
  <r>
    <x v="0"/>
    <n v="1.1200000000000001"/>
    <x v="17"/>
  </r>
  <r>
    <x v="1"/>
    <n v="1.1100000000000001"/>
    <x v="17"/>
  </r>
  <r>
    <x v="2"/>
    <n v="1.07"/>
    <x v="17"/>
  </r>
  <r>
    <x v="3"/>
    <n v="0.84"/>
    <x v="17"/>
  </r>
  <r>
    <x v="4"/>
    <n v="0.76"/>
    <x v="17"/>
  </r>
  <r>
    <x v="5"/>
    <n v="0.71"/>
    <x v="17"/>
  </r>
  <r>
    <x v="6"/>
    <n v="0.66"/>
    <x v="17"/>
  </r>
  <r>
    <x v="7"/>
    <n v="0.7"/>
    <x v="17"/>
  </r>
  <r>
    <x v="8"/>
    <n v="0.86"/>
    <x v="17"/>
  </r>
  <r>
    <x v="9"/>
    <n v="0.83"/>
    <x v="17"/>
  </r>
  <r>
    <x v="0"/>
    <n v="29.92"/>
    <x v="18"/>
  </r>
  <r>
    <x v="1"/>
    <n v="41.64"/>
    <x v="18"/>
  </r>
  <r>
    <x v="2"/>
    <n v="42.29"/>
    <x v="18"/>
  </r>
  <r>
    <x v="3"/>
    <n v="24.35"/>
    <x v="18"/>
  </r>
  <r>
    <x v="4"/>
    <n v="19.38"/>
    <x v="18"/>
  </r>
  <r>
    <x v="5"/>
    <n v="23.5"/>
    <x v="18"/>
  </r>
  <r>
    <x v="6"/>
    <n v="28.59"/>
    <x v="18"/>
  </r>
  <r>
    <x v="7"/>
    <n v="43.15"/>
    <x v="18"/>
  </r>
  <r>
    <x v="8"/>
    <n v="99.93"/>
    <x v="18"/>
  </r>
  <r>
    <x v="9"/>
    <n v="140.28"/>
    <x v="18"/>
  </r>
  <r>
    <x v="0"/>
    <n v="1.6080000000000001"/>
    <x v="19"/>
  </r>
  <r>
    <x v="1"/>
    <n v="1.609"/>
    <x v="19"/>
  </r>
  <r>
    <x v="2"/>
    <n v="1.4410000000000001"/>
    <x v="19"/>
  </r>
  <r>
    <x v="3"/>
    <n v="0.752"/>
    <x v="19"/>
  </r>
  <r>
    <x v="4"/>
    <n v="0.53800000000000003"/>
    <x v="19"/>
  </r>
  <r>
    <x v="5"/>
    <n v="0.48699999999999999"/>
    <x v="19"/>
  </r>
  <r>
    <x v="6"/>
    <n v="0.36299999999999999"/>
    <x v="19"/>
  </r>
  <r>
    <x v="7"/>
    <n v="0.35599999999999998"/>
    <x v="19"/>
  </r>
  <r>
    <x v="8"/>
    <n v="0.42899999999999999"/>
    <x v="19"/>
  </r>
  <r>
    <x v="9"/>
    <n v="0.32800000000000001"/>
    <x v="19"/>
  </r>
  <r>
    <x v="0"/>
    <n v="0.28399999999999997"/>
    <x v="20"/>
  </r>
  <r>
    <x v="1"/>
    <n v="0.28100000000000003"/>
    <x v="20"/>
  </r>
  <r>
    <x v="2"/>
    <n v="0.27600000000000002"/>
    <x v="20"/>
  </r>
  <r>
    <x v="3"/>
    <n v="0.17599999999999999"/>
    <x v="20"/>
  </r>
  <r>
    <x v="4"/>
    <n v="0.161"/>
    <x v="20"/>
  </r>
  <r>
    <x v="5"/>
    <n v="0.16"/>
    <x v="20"/>
  </r>
  <r>
    <x v="6"/>
    <n v="0.14000000000000001"/>
    <x v="20"/>
  </r>
  <r>
    <x v="7"/>
    <n v="0.14899999999999999"/>
    <x v="20"/>
  </r>
  <r>
    <x v="8"/>
    <n v="0.19700000000000001"/>
    <x v="20"/>
  </r>
  <r>
    <x v="9"/>
    <n v="0.17799999999999999"/>
    <x v="20"/>
  </r>
  <r>
    <x v="0"/>
    <n v="0.56269999999999998"/>
    <x v="21"/>
  </r>
  <r>
    <x v="1"/>
    <n v="0.58620000000000005"/>
    <x v="21"/>
  </r>
  <r>
    <x v="2"/>
    <n v="0.50290000000000001"/>
    <x v="21"/>
  </r>
  <r>
    <x v="3"/>
    <n v="0.31909999999999999"/>
    <x v="21"/>
  </r>
  <r>
    <x v="4"/>
    <n v="0.2707"/>
    <x v="21"/>
  </r>
  <r>
    <x v="5"/>
    <n v="0.26119999999999999"/>
    <x v="21"/>
  </r>
  <r>
    <x v="6"/>
    <n v="0.18529999999999999"/>
    <x v="21"/>
  </r>
  <r>
    <x v="7"/>
    <n v="0.20760000000000001"/>
    <x v="21"/>
  </r>
  <r>
    <x v="8"/>
    <n v="0.28549999999999998"/>
    <x v="21"/>
  </r>
  <r>
    <x v="9"/>
    <n v="0.2641"/>
    <x v="21"/>
  </r>
  <r>
    <x v="0"/>
    <n v="3.6200000000000003E-2"/>
    <x v="22"/>
  </r>
  <r>
    <x v="1"/>
    <n v="4.1300000000000003E-2"/>
    <x v="22"/>
  </r>
  <r>
    <x v="2"/>
    <n v="3.9E-2"/>
    <x v="22"/>
  </r>
  <r>
    <x v="3"/>
    <n v="2.9899999999999999E-2"/>
    <x v="22"/>
  </r>
  <r>
    <x v="4"/>
    <n v="5.5899999999999998E-2"/>
    <x v="22"/>
  </r>
  <r>
    <x v="5"/>
    <n v="5.4600000000000003E-2"/>
    <x v="22"/>
  </r>
  <r>
    <x v="6"/>
    <n v="6.0699999999999997E-2"/>
    <x v="22"/>
  </r>
  <r>
    <x v="7"/>
    <n v="7.5200000000000003E-2"/>
    <x v="22"/>
  </r>
  <r>
    <x v="8"/>
    <n v="8.1600000000000006E-2"/>
    <x v="22"/>
  </r>
  <r>
    <x v="9"/>
    <n v="6.5500000000000003E-2"/>
    <x v="22"/>
  </r>
  <r>
    <x v="0"/>
    <n v="3.7199999999999997E-2"/>
    <x v="23"/>
  </r>
  <r>
    <x v="1"/>
    <n v="4.6100000000000002E-2"/>
    <x v="23"/>
  </r>
  <r>
    <x v="2"/>
    <n v="3.8300000000000001E-2"/>
    <x v="23"/>
  </r>
  <r>
    <x v="3"/>
    <n v="3.8199999999999998E-2"/>
    <x v="23"/>
  </r>
  <r>
    <x v="4"/>
    <n v="5.96E-2"/>
    <x v="23"/>
  </r>
  <r>
    <x v="5"/>
    <n v="5.8799999999999998E-2"/>
    <x v="23"/>
  </r>
  <r>
    <x v="6"/>
    <n v="6.5000000000000002E-2"/>
    <x v="23"/>
  </r>
  <r>
    <x v="7"/>
    <n v="8.8099999999999998E-2"/>
    <x v="23"/>
  </r>
  <r>
    <x v="8"/>
    <n v="0.1067"/>
    <x v="23"/>
  </r>
  <r>
    <x v="9"/>
    <n v="8.2699999999999996E-2"/>
    <x v="23"/>
  </r>
  <r>
    <x v="0"/>
    <n v="5.0000000000000001E-3"/>
    <x v="24"/>
  </r>
  <r>
    <x v="1"/>
    <n v="6.0000000000000001E-3"/>
    <x v="24"/>
  </r>
  <r>
    <x v="2"/>
    <n v="6.0000000000000001E-3"/>
    <x v="24"/>
  </r>
  <r>
    <x v="3"/>
    <n v="7.0000000000000001E-3"/>
    <x v="24"/>
  </r>
  <r>
    <x v="4"/>
    <n v="1.4E-2"/>
    <x v="24"/>
  </r>
  <r>
    <x v="5"/>
    <n v="1.2E-2"/>
    <x v="24"/>
  </r>
  <r>
    <x v="6"/>
    <n v="1.6E-2"/>
    <x v="24"/>
  </r>
  <r>
    <x v="7"/>
    <n v="1.9E-2"/>
    <x v="24"/>
  </r>
  <r>
    <x v="8"/>
    <n v="1.7000000000000001E-2"/>
    <x v="24"/>
  </r>
  <r>
    <x v="9"/>
    <n v="1.7999999999999999E-2"/>
    <x v="24"/>
  </r>
  <r>
    <x v="0"/>
    <n v="0.153"/>
    <x v="25"/>
  </r>
  <r>
    <x v="1"/>
    <n v="0.14599999999999999"/>
    <x v="25"/>
  </r>
  <r>
    <x v="2"/>
    <n v="0.15"/>
    <x v="25"/>
  </r>
  <r>
    <x v="3"/>
    <n v="0.24"/>
    <x v="25"/>
  </r>
  <r>
    <x v="4"/>
    <n v="0.251"/>
    <x v="25"/>
  </r>
  <r>
    <x v="5"/>
    <n v="0.22700000000000001"/>
    <x v="25"/>
  </r>
  <r>
    <x v="6"/>
    <n v="0.25900000000000001"/>
    <x v="25"/>
  </r>
  <r>
    <x v="7"/>
    <n v="0.26100000000000001"/>
    <x v="25"/>
  </r>
  <r>
    <x v="8"/>
    <n v="0.21299999999999999"/>
    <x v="25"/>
  </r>
  <r>
    <x v="9"/>
    <n v="0.27900000000000003"/>
    <x v="25"/>
  </r>
  <r>
    <x v="0"/>
    <n v="3.1399999999999997E-2"/>
    <x v="26"/>
  </r>
  <r>
    <x v="1"/>
    <n v="3.2000000000000001E-2"/>
    <x v="26"/>
  </r>
  <r>
    <x v="2"/>
    <n v="3.78E-2"/>
    <x v="26"/>
  </r>
  <r>
    <x v="3"/>
    <n v="5.74E-2"/>
    <x v="26"/>
  </r>
  <r>
    <x v="4"/>
    <n v="7.0199999999999999E-2"/>
    <x v="26"/>
  </r>
  <r>
    <x v="5"/>
    <n v="4.7899999999999998E-2"/>
    <x v="26"/>
  </r>
  <r>
    <x v="6"/>
    <n v="4.5199999999999997E-2"/>
    <x v="26"/>
  </r>
  <r>
    <x v="7"/>
    <n v="5.0500000000000003E-2"/>
    <x v="26"/>
  </r>
  <r>
    <x v="8"/>
    <n v="5.3800000000000001E-2"/>
    <x v="26"/>
  </r>
  <r>
    <x v="9"/>
    <n v="6.1199999999999997E-2"/>
    <x v="26"/>
  </r>
  <r>
    <x v="0"/>
    <n v="3.6400000000000002E-2"/>
    <x v="27"/>
  </r>
  <r>
    <x v="1"/>
    <n v="3.7999999999999999E-2"/>
    <x v="27"/>
  </r>
  <r>
    <x v="2"/>
    <n v="4.3799999999999999E-2"/>
    <x v="27"/>
  </r>
  <r>
    <x v="3"/>
    <n v="6.4399999999999999E-2"/>
    <x v="27"/>
  </r>
  <r>
    <x v="4"/>
    <n v="8.4199999999999997E-2"/>
    <x v="27"/>
  </r>
  <r>
    <x v="5"/>
    <n v="5.9900000000000002E-2"/>
    <x v="27"/>
  </r>
  <r>
    <x v="6"/>
    <n v="6.1199999999999997E-2"/>
    <x v="27"/>
  </r>
  <r>
    <x v="7"/>
    <n v="6.9500000000000006E-2"/>
    <x v="27"/>
  </r>
  <r>
    <x v="8"/>
    <n v="7.0800000000000002E-2"/>
    <x v="27"/>
  </r>
  <r>
    <x v="9"/>
    <n v="7.9200000000000007E-2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E95070-A366-456D-9CAF-DE3151FFC8A8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AJ13" firstHeaderRow="1" firstDataRow="2" firstDataCol="1"/>
  <pivotFields count="3">
    <pivotField axis="axisRow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axis="axisCol" showAll="0">
      <items count="29">
        <item x="17"/>
        <item x="26"/>
        <item x="16"/>
        <item x="13"/>
        <item x="12"/>
        <item x="14"/>
        <item x="24"/>
        <item x="22"/>
        <item x="2"/>
        <item x="10"/>
        <item x="9"/>
        <item x="11"/>
        <item x="8"/>
        <item x="23"/>
        <item x="18"/>
        <item x="1"/>
        <item x="0"/>
        <item x="6"/>
        <item x="7"/>
        <item x="25"/>
        <item x="5"/>
        <item x="3"/>
        <item x="4"/>
        <item x="15"/>
        <item x="20"/>
        <item x="21"/>
        <item x="19"/>
        <item x="27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Sum of Val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E5EDDA-8AEE-4916-822A-4B75173FCC57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Value" tableColumnId="2"/>
      <queryTableField id="3" name="Matr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0BA36-1E58-4722-A37B-2862A99646AD}" name="Apple_Data" displayName="Apple_Data" ref="A1:C281" tableType="queryTable" totalsRowShown="0">
  <autoFilter ref="A1:C281" xr:uid="{9EA0BA36-1E58-4722-A37B-2862A99646AD}"/>
  <tableColumns count="3">
    <tableColumn id="1" xr3:uid="{F688531D-3D47-4E6A-936B-608EAC42F28D}" uniqueName="1" name="Year" queryTableFieldId="1"/>
    <tableColumn id="2" xr3:uid="{DFE5E31A-4E90-4C60-AD6C-B692306A6E6C}" uniqueName="2" name="Value" queryTableFieldId="2"/>
    <tableColumn id="3" xr3:uid="{46CA346B-2753-470C-938B-8CD615000DCC}" uniqueName="3" name="Matrice" queryTableFieldId="3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B70A0-5DB8-4589-90FC-58436AA4CE06}" name="Table2" displayName="Table2" ref="A3:N48" totalsRowShown="0" headerRowDxfId="9" headerRowBorderDxfId="8">
  <autoFilter ref="A3:N48" xr:uid="{6A2B70A0-5DB8-4589-90FC-58436AA4CE06}"/>
  <tableColumns count="14">
    <tableColumn id="1" xr3:uid="{3F8469D4-AE76-4134-AF58-869EDF40126A}" name="Sample Number"/>
    <tableColumn id="2" xr3:uid="{A42D87EE-F9EC-4793-A5B3-39F33A6FAC88}" name="1"/>
    <tableColumn id="3" xr3:uid="{38BA8CCC-409F-4D24-8CC6-3906B9D85E14}" name="2"/>
    <tableColumn id="4" xr3:uid="{A532B9F4-69EC-4837-9E05-B2D006D669EB}" name="3"/>
    <tableColumn id="5" xr3:uid="{7B75C59B-EDBC-4C60-AF40-3DCBDFE4D4BA}" name="4"/>
    <tableColumn id="6" xr3:uid="{BB54F509-B082-4E72-8B6D-A1FD2BDCC019}" name="5"/>
    <tableColumn id="7" xr3:uid="{A52AE14B-C04A-46B6-8AAC-AC2B5A6E43A1}" name="¯xi" dataDxfId="7">
      <calculatedColumnFormula>AVERAGE(Table2[[#This Row],[1]:[5]])</calculatedColumnFormula>
    </tableColumn>
    <tableColumn id="8" xr3:uid="{02C7FBB7-B4D2-4D30-BE13-E1F61E6047B8}" name="Ri" dataDxfId="6">
      <calculatedColumnFormula>MAX(Table2[[#This Row],[1]:[5]])-MIN(Table2[[#This Row],[1]:[5]])</calculatedColumnFormula>
    </tableColumn>
    <tableColumn id="9" xr3:uid="{97BF9EED-1E24-47CC-A5DA-A61215FC46A4}" name="Mean" dataDxfId="5">
      <calculatedColumnFormula>$Q$3</calculatedColumnFormula>
    </tableColumn>
    <tableColumn id="14" xr3:uid="{E4D0F7DF-A80F-4F4D-8AB6-F58C68053FD5}" name="r-Bar" dataDxfId="4">
      <calculatedColumnFormula>$Q$2</calculatedColumnFormula>
    </tableColumn>
    <tableColumn id="10" xr3:uid="{8A0495F7-F716-4269-8600-CAD975795BD0}" name="UCL" dataDxfId="3">
      <calculatedColumnFormula>$Q$3+$S$2*$Q$2</calculatedColumnFormula>
    </tableColumn>
    <tableColumn id="11" xr3:uid="{449AB93B-D8E0-4C6D-AB30-F220C8A7CCE5}" name="LCL" dataDxfId="2">
      <calculatedColumnFormula>$Q$3-$S$2*$Q$2</calculatedColumnFormula>
    </tableColumn>
    <tableColumn id="12" xr3:uid="{995C742C-C1CC-4747-818A-EE7FFAC4F899}" name="UCLr" dataDxfId="1">
      <calculatedColumnFormula>$U$2*$Q$2</calculatedColumnFormula>
    </tableColumn>
    <tableColumn id="13" xr3:uid="{17DE263E-0B21-4D10-9145-890A049AD755}" name="LCLr" dataDxfId="0">
      <calculatedColumnFormula>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E8FBE75-D8BF-476D-A32F-17C21B092332}">
  <we:reference id="wa200003696" version="1.2.0.0" store="en-US" storeType="OMEX"/>
  <we:alternateReferences>
    <we:reference id="wa200003696" version="1.2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F2B6-E0E6-48BA-9E8D-8C3A046D4431}">
  <dimension ref="A1:AJ281"/>
  <sheetViews>
    <sheetView tabSelected="1" zoomScale="130" zoomScaleNormal="130" workbookViewId="0">
      <selection activeCell="M20" sqref="M20"/>
    </sheetView>
  </sheetViews>
  <sheetFormatPr defaultRowHeight="14.25" x14ac:dyDescent="0.15"/>
  <cols>
    <col min="1" max="1" width="6.875" bestFit="1" customWidth="1"/>
    <col min="2" max="2" width="8.25" bestFit="1" customWidth="1"/>
    <col min="3" max="3" width="20.875" bestFit="1" customWidth="1"/>
    <col min="7" max="7" width="13" bestFit="1" customWidth="1"/>
    <col min="8" max="8" width="15.75" bestFit="1" customWidth="1"/>
    <col min="9" max="9" width="22.625" bestFit="1" customWidth="1"/>
    <col min="10" max="10" width="12.375" bestFit="1" customWidth="1"/>
    <col min="11" max="11" width="19.375" bestFit="1" customWidth="1"/>
    <col min="12" max="12" width="18.375" bestFit="1" customWidth="1"/>
    <col min="13" max="13" width="16.5" bestFit="1" customWidth="1"/>
    <col min="14" max="14" width="13.375" bestFit="1" customWidth="1"/>
    <col min="15" max="15" width="13.5" bestFit="1" customWidth="1"/>
    <col min="16" max="16" width="15" bestFit="1" customWidth="1"/>
    <col min="17" max="17" width="13.375" bestFit="1" customWidth="1"/>
    <col min="18" max="18" width="15.625" bestFit="1" customWidth="1"/>
    <col min="19" max="19" width="12.75" bestFit="1" customWidth="1"/>
    <col min="20" max="20" width="14.125" bestFit="1" customWidth="1"/>
    <col min="21" max="21" width="9.5" bestFit="1" customWidth="1"/>
    <col min="22" max="22" width="15.875" bestFit="1" customWidth="1"/>
    <col min="23" max="23" width="17.5" bestFit="1" customWidth="1"/>
    <col min="24" max="24" width="18.75" bestFit="1" customWidth="1"/>
    <col min="25" max="25" width="11.75" bestFit="1" customWidth="1"/>
    <col min="26" max="26" width="12" bestFit="1" customWidth="1"/>
    <col min="27" max="27" width="11.875" bestFit="1" customWidth="1"/>
    <col min="28" max="30" width="8.625" bestFit="1" customWidth="1"/>
    <col min="31" max="31" width="10.875" bestFit="1" customWidth="1"/>
    <col min="32" max="32" width="22.75" bestFit="1" customWidth="1"/>
    <col min="33" max="33" width="24.125" bestFit="1" customWidth="1"/>
    <col min="34" max="35" width="22.75" bestFit="1" customWidth="1"/>
    <col min="36" max="36" width="13.625" bestFit="1" customWidth="1"/>
  </cols>
  <sheetData>
    <row r="1" spans="1:36" x14ac:dyDescent="0.15">
      <c r="A1" t="s">
        <v>8</v>
      </c>
      <c r="B1" t="s">
        <v>9</v>
      </c>
      <c r="C1" t="s">
        <v>10</v>
      </c>
      <c r="G1" s="3" t="s">
        <v>39</v>
      </c>
      <c r="H1" s="3" t="s">
        <v>42</v>
      </c>
    </row>
    <row r="2" spans="1:36" x14ac:dyDescent="0.15">
      <c r="A2">
        <v>2023</v>
      </c>
      <c r="B2">
        <v>2676737</v>
      </c>
      <c r="C2" t="s">
        <v>11</v>
      </c>
      <c r="G2" s="3" t="s">
        <v>40</v>
      </c>
      <c r="H2" t="s">
        <v>28</v>
      </c>
      <c r="I2" t="s">
        <v>37</v>
      </c>
      <c r="J2" t="s">
        <v>27</v>
      </c>
      <c r="K2" t="s">
        <v>24</v>
      </c>
      <c r="L2" t="s">
        <v>23</v>
      </c>
      <c r="M2" t="s">
        <v>25</v>
      </c>
      <c r="N2" t="s">
        <v>35</v>
      </c>
      <c r="O2" t="s">
        <v>33</v>
      </c>
      <c r="P2" t="s">
        <v>13</v>
      </c>
      <c r="Q2" t="s">
        <v>21</v>
      </c>
      <c r="R2" t="s">
        <v>20</v>
      </c>
      <c r="S2" t="s">
        <v>22</v>
      </c>
      <c r="T2" t="s">
        <v>19</v>
      </c>
      <c r="U2" t="s">
        <v>34</v>
      </c>
      <c r="V2" t="s">
        <v>29</v>
      </c>
      <c r="W2" t="s">
        <v>12</v>
      </c>
      <c r="X2" t="s">
        <v>11</v>
      </c>
      <c r="Y2" t="s">
        <v>17</v>
      </c>
      <c r="Z2" t="s">
        <v>18</v>
      </c>
      <c r="AA2" t="s">
        <v>36</v>
      </c>
      <c r="AB2" t="s">
        <v>16</v>
      </c>
      <c r="AC2" t="s">
        <v>14</v>
      </c>
      <c r="AD2" t="s">
        <v>15</v>
      </c>
      <c r="AE2" t="s">
        <v>26</v>
      </c>
      <c r="AF2" t="s">
        <v>31</v>
      </c>
      <c r="AG2" t="s">
        <v>32</v>
      </c>
      <c r="AH2" t="s">
        <v>30</v>
      </c>
      <c r="AI2" t="s">
        <v>38</v>
      </c>
      <c r="AJ2" t="s">
        <v>41</v>
      </c>
    </row>
    <row r="3" spans="1:36" x14ac:dyDescent="0.15">
      <c r="A3">
        <v>2022</v>
      </c>
      <c r="B3">
        <v>2417523</v>
      </c>
      <c r="C3" t="s">
        <v>11</v>
      </c>
      <c r="G3" s="4">
        <v>2014</v>
      </c>
      <c r="H3">
        <v>0.83</v>
      </c>
      <c r="I3">
        <v>6.1199999999999997E-2</v>
      </c>
      <c r="J3">
        <v>1.08</v>
      </c>
      <c r="K3">
        <v>0.56999999999999995</v>
      </c>
      <c r="L3">
        <v>0.32</v>
      </c>
      <c r="M3">
        <v>0.71</v>
      </c>
      <c r="N3">
        <v>1.7999999999999999E-2</v>
      </c>
      <c r="O3">
        <v>6.5500000000000003E-2</v>
      </c>
      <c r="P3">
        <v>483334</v>
      </c>
      <c r="Q3">
        <v>8.9700000000000006</v>
      </c>
      <c r="R3">
        <v>7.82</v>
      </c>
      <c r="S3">
        <v>9.69</v>
      </c>
      <c r="T3">
        <v>2.64</v>
      </c>
      <c r="U3">
        <v>8.2699999999999996E-2</v>
      </c>
      <c r="V3">
        <v>140.28</v>
      </c>
      <c r="W3">
        <v>0.3755</v>
      </c>
      <c r="X3">
        <v>603278</v>
      </c>
      <c r="Y3">
        <v>12.09</v>
      </c>
      <c r="Z3">
        <v>10.1</v>
      </c>
      <c r="AA3">
        <v>0.27900000000000003</v>
      </c>
      <c r="AB3">
        <v>5.41</v>
      </c>
      <c r="AC3">
        <v>15.27</v>
      </c>
      <c r="AD3">
        <v>3.3</v>
      </c>
      <c r="AE3">
        <v>0.82</v>
      </c>
      <c r="AF3">
        <v>0.17799999999999999</v>
      </c>
      <c r="AG3">
        <v>0.2641</v>
      </c>
      <c r="AH3">
        <v>0.32800000000000001</v>
      </c>
      <c r="AI3">
        <v>7.9200000000000007E-2</v>
      </c>
      <c r="AJ3">
        <v>1086833.6312000004</v>
      </c>
    </row>
    <row r="4" spans="1:36" x14ac:dyDescent="0.15">
      <c r="A4">
        <v>2021</v>
      </c>
      <c r="B4">
        <v>2428612</v>
      </c>
      <c r="C4" t="s">
        <v>11</v>
      </c>
      <c r="G4" s="4">
        <v>2015</v>
      </c>
      <c r="H4">
        <v>0.86</v>
      </c>
      <c r="I4">
        <v>5.3800000000000001E-2</v>
      </c>
      <c r="J4">
        <v>1.1100000000000001</v>
      </c>
      <c r="K4">
        <v>0.76</v>
      </c>
      <c r="L4">
        <v>0.54</v>
      </c>
      <c r="M4">
        <v>0.92</v>
      </c>
      <c r="N4">
        <v>1.7000000000000001E-2</v>
      </c>
      <c r="O4">
        <v>8.1600000000000006E-2</v>
      </c>
      <c r="P4">
        <v>512821</v>
      </c>
      <c r="Q4">
        <v>7</v>
      </c>
      <c r="R4">
        <v>6.07</v>
      </c>
      <c r="S4">
        <v>7.35</v>
      </c>
      <c r="T4">
        <v>2.19</v>
      </c>
      <c r="U4">
        <v>0.1067</v>
      </c>
      <c r="V4">
        <v>99.93</v>
      </c>
      <c r="W4">
        <v>8.43E-2</v>
      </c>
      <c r="X4">
        <v>654159</v>
      </c>
      <c r="Y4">
        <v>9.3699999999999992</v>
      </c>
      <c r="Z4">
        <v>8.0500000000000007</v>
      </c>
      <c r="AA4">
        <v>0.21299999999999999</v>
      </c>
      <c r="AB4">
        <v>5.48</v>
      </c>
      <c r="AC4">
        <v>12.25</v>
      </c>
      <c r="AD4">
        <v>2.8</v>
      </c>
      <c r="AE4">
        <v>0.89</v>
      </c>
      <c r="AF4">
        <v>0.19700000000000001</v>
      </c>
      <c r="AG4">
        <v>0.28549999999999998</v>
      </c>
      <c r="AH4">
        <v>0.42899999999999999</v>
      </c>
      <c r="AI4">
        <v>7.0800000000000002E-2</v>
      </c>
      <c r="AJ4">
        <v>1167147.1087000002</v>
      </c>
    </row>
    <row r="5" spans="1:36" x14ac:dyDescent="0.15">
      <c r="A5">
        <v>2020</v>
      </c>
      <c r="B5">
        <v>1920273</v>
      </c>
      <c r="C5" t="s">
        <v>11</v>
      </c>
      <c r="G5" s="4">
        <v>2016</v>
      </c>
      <c r="H5">
        <v>0.7</v>
      </c>
      <c r="I5">
        <v>5.0500000000000003E-2</v>
      </c>
      <c r="J5">
        <v>1.35</v>
      </c>
      <c r="K5">
        <v>1.19</v>
      </c>
      <c r="L5">
        <v>0.68</v>
      </c>
      <c r="M5">
        <v>1.63</v>
      </c>
      <c r="N5">
        <v>1.9E-2</v>
      </c>
      <c r="O5">
        <v>7.5200000000000003E-2</v>
      </c>
      <c r="P5">
        <v>456778</v>
      </c>
      <c r="Q5">
        <v>7.27</v>
      </c>
      <c r="R5">
        <v>6.23</v>
      </c>
      <c r="S5">
        <v>8.5399999999999991</v>
      </c>
      <c r="T5">
        <v>2.12</v>
      </c>
      <c r="U5">
        <v>8.8099999999999998E-2</v>
      </c>
      <c r="V5">
        <v>43.15</v>
      </c>
      <c r="W5">
        <v>-7.1599999999999997E-2</v>
      </c>
      <c r="X5">
        <v>607331</v>
      </c>
      <c r="Y5">
        <v>11.35</v>
      </c>
      <c r="Z5">
        <v>9.17</v>
      </c>
      <c r="AA5">
        <v>0.26100000000000001</v>
      </c>
      <c r="AB5">
        <v>4.74</v>
      </c>
      <c r="AC5">
        <v>13.29</v>
      </c>
      <c r="AD5">
        <v>2.82</v>
      </c>
      <c r="AE5">
        <v>1.22</v>
      </c>
      <c r="AF5">
        <v>0.14899999999999999</v>
      </c>
      <c r="AG5">
        <v>0.20760000000000001</v>
      </c>
      <c r="AH5">
        <v>0.35599999999999998</v>
      </c>
      <c r="AI5">
        <v>6.9500000000000006E-2</v>
      </c>
      <c r="AJ5">
        <v>1064225.6542999998</v>
      </c>
    </row>
    <row r="6" spans="1:36" x14ac:dyDescent="0.15">
      <c r="A6">
        <v>2019</v>
      </c>
      <c r="B6">
        <v>988887</v>
      </c>
      <c r="C6" t="s">
        <v>11</v>
      </c>
      <c r="G6" s="4">
        <v>2017</v>
      </c>
      <c r="H6">
        <v>0.66</v>
      </c>
      <c r="I6">
        <v>4.5199999999999997E-2</v>
      </c>
      <c r="J6">
        <v>1.28</v>
      </c>
      <c r="K6">
        <v>1.51</v>
      </c>
      <c r="L6">
        <v>0.86</v>
      </c>
      <c r="M6">
        <v>2.23</v>
      </c>
      <c r="N6">
        <v>1.6E-2</v>
      </c>
      <c r="O6">
        <v>6.0699999999999997E-2</v>
      </c>
      <c r="P6">
        <v>642850</v>
      </c>
      <c r="Q6">
        <v>9.68</v>
      </c>
      <c r="R6">
        <v>8.4</v>
      </c>
      <c r="S6">
        <v>12.42</v>
      </c>
      <c r="T6">
        <v>2.8</v>
      </c>
      <c r="U6">
        <v>6.5000000000000002E-2</v>
      </c>
      <c r="V6">
        <v>28.59</v>
      </c>
      <c r="W6">
        <v>0.31080000000000002</v>
      </c>
      <c r="X6">
        <v>796065</v>
      </c>
      <c r="Y6">
        <v>15.38</v>
      </c>
      <c r="Z6">
        <v>12.39</v>
      </c>
      <c r="AA6">
        <v>0.25900000000000001</v>
      </c>
      <c r="AB6">
        <v>5.94</v>
      </c>
      <c r="AC6">
        <v>16.46</v>
      </c>
      <c r="AD6">
        <v>3.47</v>
      </c>
      <c r="AE6">
        <v>1.0900000000000001</v>
      </c>
      <c r="AF6">
        <v>0.14000000000000001</v>
      </c>
      <c r="AG6">
        <v>0.18529999999999999</v>
      </c>
      <c r="AH6">
        <v>0.36299999999999999</v>
      </c>
      <c r="AI6">
        <v>6.1199999999999997E-2</v>
      </c>
      <c r="AJ6">
        <v>1439039.6661999996</v>
      </c>
    </row>
    <row r="7" spans="1:36" x14ac:dyDescent="0.15">
      <c r="A7">
        <v>2018</v>
      </c>
      <c r="B7">
        <v>1090307</v>
      </c>
      <c r="C7" t="s">
        <v>11</v>
      </c>
      <c r="G7" s="4">
        <v>2018</v>
      </c>
      <c r="H7">
        <v>0.71</v>
      </c>
      <c r="I7">
        <v>4.7899999999999998E-2</v>
      </c>
      <c r="J7">
        <v>1.1299999999999999</v>
      </c>
      <c r="K7">
        <v>1.32</v>
      </c>
      <c r="L7">
        <v>1.07</v>
      </c>
      <c r="M7">
        <v>1.79</v>
      </c>
      <c r="N7">
        <v>1.2E-2</v>
      </c>
      <c r="O7">
        <v>5.4600000000000003E-2</v>
      </c>
      <c r="P7">
        <v>967690</v>
      </c>
      <c r="Q7">
        <v>12.71</v>
      </c>
      <c r="R7">
        <v>11.12</v>
      </c>
      <c r="S7">
        <v>15.09</v>
      </c>
      <c r="T7">
        <v>3.64</v>
      </c>
      <c r="U7">
        <v>5.8799999999999998E-2</v>
      </c>
      <c r="V7">
        <v>23.5</v>
      </c>
      <c r="W7">
        <v>0.36959999999999998</v>
      </c>
      <c r="X7">
        <v>1090307</v>
      </c>
      <c r="Y7">
        <v>17</v>
      </c>
      <c r="Z7">
        <v>14.08</v>
      </c>
      <c r="AA7">
        <v>0.22700000000000001</v>
      </c>
      <c r="AB7">
        <v>10.18</v>
      </c>
      <c r="AC7">
        <v>18.32</v>
      </c>
      <c r="AD7">
        <v>4.1100000000000003</v>
      </c>
      <c r="AE7">
        <v>0.99</v>
      </c>
      <c r="AF7">
        <v>0.16</v>
      </c>
      <c r="AG7">
        <v>0.26119999999999999</v>
      </c>
      <c r="AH7">
        <v>0.48699999999999999</v>
      </c>
      <c r="AI7">
        <v>5.9900000000000002E-2</v>
      </c>
      <c r="AJ7">
        <v>2058135.4979999999</v>
      </c>
    </row>
    <row r="8" spans="1:36" x14ac:dyDescent="0.15">
      <c r="A8">
        <v>2017</v>
      </c>
      <c r="B8">
        <v>796065</v>
      </c>
      <c r="C8" t="s">
        <v>11</v>
      </c>
      <c r="G8" s="4">
        <v>2019</v>
      </c>
      <c r="H8">
        <v>0.76</v>
      </c>
      <c r="I8">
        <v>7.0199999999999999E-2</v>
      </c>
      <c r="J8">
        <v>1.54</v>
      </c>
      <c r="K8">
        <v>1.32</v>
      </c>
      <c r="L8">
        <v>1.19</v>
      </c>
      <c r="M8">
        <v>1.83</v>
      </c>
      <c r="N8">
        <v>1.4E-2</v>
      </c>
      <c r="O8">
        <v>5.5899999999999998E-2</v>
      </c>
      <c r="P8">
        <v>891036</v>
      </c>
      <c r="Q8">
        <v>12.86</v>
      </c>
      <c r="R8">
        <v>10.88</v>
      </c>
      <c r="S8">
        <v>15.13</v>
      </c>
      <c r="T8">
        <v>3.42</v>
      </c>
      <c r="U8">
        <v>5.96E-2</v>
      </c>
      <c r="V8">
        <v>19.38</v>
      </c>
      <c r="W8">
        <v>-9.2999999999999999E-2</v>
      </c>
      <c r="X8">
        <v>988887</v>
      </c>
      <c r="Y8">
        <v>16.79</v>
      </c>
      <c r="Z8">
        <v>14.25</v>
      </c>
      <c r="AA8">
        <v>0.251</v>
      </c>
      <c r="AB8">
        <v>10.93</v>
      </c>
      <c r="AC8">
        <v>17.899999999999999</v>
      </c>
      <c r="AD8">
        <v>3.8</v>
      </c>
      <c r="AE8">
        <v>1.38</v>
      </c>
      <c r="AF8">
        <v>0.161</v>
      </c>
      <c r="AG8">
        <v>0.2707</v>
      </c>
      <c r="AH8">
        <v>0.53800000000000003</v>
      </c>
      <c r="AI8">
        <v>8.4199999999999997E-2</v>
      </c>
      <c r="AJ8">
        <v>1880057.7715999996</v>
      </c>
    </row>
    <row r="9" spans="1:36" x14ac:dyDescent="0.15">
      <c r="A9">
        <v>2016</v>
      </c>
      <c r="B9">
        <v>607331</v>
      </c>
      <c r="C9" t="s">
        <v>11</v>
      </c>
      <c r="G9" s="4">
        <v>2020</v>
      </c>
      <c r="H9">
        <v>0.84</v>
      </c>
      <c r="I9">
        <v>5.74E-2</v>
      </c>
      <c r="J9">
        <v>1.36</v>
      </c>
      <c r="K9">
        <v>1.39</v>
      </c>
      <c r="L9">
        <v>1.72</v>
      </c>
      <c r="M9">
        <v>1.53</v>
      </c>
      <c r="N9">
        <v>7.0000000000000001E-3</v>
      </c>
      <c r="O9">
        <v>2.9899999999999999E-2</v>
      </c>
      <c r="P9">
        <v>1840879</v>
      </c>
      <c r="Q9">
        <v>26.31</v>
      </c>
      <c r="R9">
        <v>22.72</v>
      </c>
      <c r="S9">
        <v>25.09</v>
      </c>
      <c r="T9">
        <v>6.71</v>
      </c>
      <c r="U9">
        <v>3.8199999999999998E-2</v>
      </c>
      <c r="V9">
        <v>24.35</v>
      </c>
      <c r="W9">
        <v>0.94189999999999996</v>
      </c>
      <c r="X9">
        <v>1920273</v>
      </c>
      <c r="Y9">
        <v>26.17</v>
      </c>
      <c r="Z9">
        <v>23.8</v>
      </c>
      <c r="AA9">
        <v>0.24</v>
      </c>
      <c r="AB9">
        <v>29.39</v>
      </c>
      <c r="AC9">
        <v>33.450000000000003</v>
      </c>
      <c r="AD9">
        <v>7</v>
      </c>
      <c r="AE9">
        <v>1.22</v>
      </c>
      <c r="AF9">
        <v>0.17599999999999999</v>
      </c>
      <c r="AG9">
        <v>0.31909999999999999</v>
      </c>
      <c r="AH9">
        <v>0.752</v>
      </c>
      <c r="AI9">
        <v>6.4399999999999999E-2</v>
      </c>
      <c r="AJ9">
        <v>3761387.6759000006</v>
      </c>
    </row>
    <row r="10" spans="1:36" x14ac:dyDescent="0.15">
      <c r="A10">
        <v>2015</v>
      </c>
      <c r="B10">
        <v>654159</v>
      </c>
      <c r="C10" t="s">
        <v>11</v>
      </c>
      <c r="G10" s="4">
        <v>2021</v>
      </c>
      <c r="H10">
        <v>1.07</v>
      </c>
      <c r="I10">
        <v>3.78E-2</v>
      </c>
      <c r="J10">
        <v>1.08</v>
      </c>
      <c r="K10">
        <v>1.01</v>
      </c>
      <c r="L10">
        <v>1.98</v>
      </c>
      <c r="M10">
        <v>1.34</v>
      </c>
      <c r="N10">
        <v>6.0000000000000001E-3</v>
      </c>
      <c r="O10">
        <v>3.9E-2</v>
      </c>
      <c r="P10">
        <v>2362815</v>
      </c>
      <c r="Q10">
        <v>21.12</v>
      </c>
      <c r="R10">
        <v>19.190000000000001</v>
      </c>
      <c r="S10">
        <v>25.42</v>
      </c>
      <c r="T10">
        <v>6.46</v>
      </c>
      <c r="U10">
        <v>3.8300000000000001E-2</v>
      </c>
      <c r="V10">
        <v>42.29</v>
      </c>
      <c r="W10">
        <v>0.26469999999999999</v>
      </c>
      <c r="X10">
        <v>2428612</v>
      </c>
      <c r="Y10">
        <v>26.13</v>
      </c>
      <c r="Z10">
        <v>23.34</v>
      </c>
      <c r="AA10">
        <v>0.15</v>
      </c>
      <c r="AB10">
        <v>38.49</v>
      </c>
      <c r="AC10">
        <v>25.65</v>
      </c>
      <c r="AD10">
        <v>6.64</v>
      </c>
      <c r="AE10">
        <v>0.91</v>
      </c>
      <c r="AF10">
        <v>0.27600000000000002</v>
      </c>
      <c r="AG10">
        <v>0.50290000000000001</v>
      </c>
      <c r="AH10">
        <v>1.4410000000000001</v>
      </c>
      <c r="AI10">
        <v>4.3799999999999999E-2</v>
      </c>
      <c r="AJ10">
        <v>4791671.9194999998</v>
      </c>
    </row>
    <row r="11" spans="1:36" x14ac:dyDescent="0.15">
      <c r="A11">
        <v>2014</v>
      </c>
      <c r="B11">
        <v>603278</v>
      </c>
      <c r="C11" t="s">
        <v>11</v>
      </c>
      <c r="G11" s="4">
        <v>2022</v>
      </c>
      <c r="H11">
        <v>1.1100000000000001</v>
      </c>
      <c r="I11">
        <v>3.2000000000000001E-2</v>
      </c>
      <c r="J11">
        <v>0.88</v>
      </c>
      <c r="K11">
        <v>0.9</v>
      </c>
      <c r="L11">
        <v>2.37</v>
      </c>
      <c r="M11">
        <v>1.08</v>
      </c>
      <c r="N11">
        <v>6.0000000000000001E-3</v>
      </c>
      <c r="O11">
        <v>4.1300000000000003E-2</v>
      </c>
      <c r="P11">
        <v>2368483</v>
      </c>
      <c r="Q11">
        <v>19.41</v>
      </c>
      <c r="R11">
        <v>17.79</v>
      </c>
      <c r="S11">
        <v>21.25</v>
      </c>
      <c r="T11">
        <v>6.01</v>
      </c>
      <c r="U11">
        <v>4.6100000000000002E-2</v>
      </c>
      <c r="V11">
        <v>41.64</v>
      </c>
      <c r="W11">
        <v>-4.5999999999999999E-3</v>
      </c>
      <c r="X11">
        <v>2417523</v>
      </c>
      <c r="Y11">
        <v>21.69</v>
      </c>
      <c r="Z11">
        <v>19.79</v>
      </c>
      <c r="AA11">
        <v>0.14599999999999999</v>
      </c>
      <c r="AB11">
        <v>47.71</v>
      </c>
      <c r="AC11">
        <v>24.22</v>
      </c>
      <c r="AD11">
        <v>6.13</v>
      </c>
      <c r="AE11">
        <v>0.71</v>
      </c>
      <c r="AF11">
        <v>0.28100000000000003</v>
      </c>
      <c r="AG11">
        <v>0.58620000000000005</v>
      </c>
      <c r="AH11">
        <v>1.609</v>
      </c>
      <c r="AI11">
        <v>3.7999999999999999E-2</v>
      </c>
      <c r="AJ11">
        <v>4786241.4709999999</v>
      </c>
    </row>
    <row r="12" spans="1:36" x14ac:dyDescent="0.15">
      <c r="A12">
        <v>2023</v>
      </c>
      <c r="B12">
        <v>0.1072</v>
      </c>
      <c r="C12" t="s">
        <v>12</v>
      </c>
      <c r="G12" s="4">
        <v>2023</v>
      </c>
      <c r="H12">
        <v>1.1200000000000001</v>
      </c>
      <c r="I12">
        <v>3.1399999999999997E-2</v>
      </c>
      <c r="J12">
        <v>0.99</v>
      </c>
      <c r="K12">
        <v>0.86</v>
      </c>
      <c r="L12">
        <v>1.79</v>
      </c>
      <c r="M12">
        <v>1.1200000000000001</v>
      </c>
      <c r="N12">
        <v>5.0000000000000001E-3</v>
      </c>
      <c r="O12">
        <v>3.6200000000000003E-2</v>
      </c>
      <c r="P12">
        <v>2625726</v>
      </c>
      <c r="Q12">
        <v>22.31</v>
      </c>
      <c r="R12">
        <v>20.32</v>
      </c>
      <c r="S12">
        <v>26.37</v>
      </c>
      <c r="T12">
        <v>6.85</v>
      </c>
      <c r="U12">
        <v>3.7199999999999997E-2</v>
      </c>
      <c r="V12">
        <v>29.92</v>
      </c>
      <c r="W12">
        <v>0.1072</v>
      </c>
      <c r="X12">
        <v>2676737</v>
      </c>
      <c r="Y12">
        <v>26.88</v>
      </c>
      <c r="Z12">
        <v>24.21</v>
      </c>
      <c r="AA12">
        <v>0.153</v>
      </c>
      <c r="AB12">
        <v>43.07</v>
      </c>
      <c r="AC12">
        <v>27.6</v>
      </c>
      <c r="AD12">
        <v>6.98</v>
      </c>
      <c r="AE12">
        <v>0.84</v>
      </c>
      <c r="AF12">
        <v>0.28399999999999997</v>
      </c>
      <c r="AG12">
        <v>0.56269999999999998</v>
      </c>
      <c r="AH12">
        <v>1.6080000000000001</v>
      </c>
      <c r="AI12">
        <v>3.6400000000000002E-2</v>
      </c>
      <c r="AJ12">
        <v>5302707.0910999998</v>
      </c>
    </row>
    <row r="13" spans="1:36" x14ac:dyDescent="0.15">
      <c r="A13">
        <v>2022</v>
      </c>
      <c r="B13">
        <v>-4.5999999999999999E-3</v>
      </c>
      <c r="C13" t="s">
        <v>12</v>
      </c>
      <c r="G13" s="4" t="s">
        <v>41</v>
      </c>
      <c r="H13">
        <v>8.66</v>
      </c>
      <c r="I13">
        <v>0.48739999999999994</v>
      </c>
      <c r="J13">
        <v>11.8</v>
      </c>
      <c r="K13">
        <v>10.83</v>
      </c>
      <c r="L13">
        <v>12.52</v>
      </c>
      <c r="M13">
        <v>14.18</v>
      </c>
      <c r="N13">
        <v>0.12000000000000002</v>
      </c>
      <c r="O13">
        <v>0.53989999999999994</v>
      </c>
      <c r="P13">
        <v>13152412</v>
      </c>
      <c r="Q13">
        <v>147.63999999999999</v>
      </c>
      <c r="R13">
        <v>130.54</v>
      </c>
      <c r="S13">
        <v>166.35000000000002</v>
      </c>
      <c r="T13">
        <v>42.84</v>
      </c>
      <c r="U13">
        <v>0.62070000000000014</v>
      </c>
      <c r="V13">
        <v>493.03000000000003</v>
      </c>
      <c r="W13">
        <v>2.2848000000000002</v>
      </c>
      <c r="X13">
        <v>14183172</v>
      </c>
      <c r="Y13">
        <v>182.85</v>
      </c>
      <c r="Z13">
        <v>159.18</v>
      </c>
      <c r="AA13">
        <v>2.1790000000000003</v>
      </c>
      <c r="AB13">
        <v>201.34</v>
      </c>
      <c r="AC13">
        <v>204.41</v>
      </c>
      <c r="AD13">
        <v>47.05</v>
      </c>
      <c r="AE13">
        <v>10.07</v>
      </c>
      <c r="AF13">
        <v>2.0019999999999998</v>
      </c>
      <c r="AG13">
        <v>3.4453</v>
      </c>
      <c r="AH13">
        <v>7.9109999999999996</v>
      </c>
      <c r="AI13">
        <v>0.60740000000000005</v>
      </c>
      <c r="AJ13">
        <v>27337447.487500001</v>
      </c>
    </row>
    <row r="14" spans="1:36" x14ac:dyDescent="0.15">
      <c r="A14">
        <v>2021</v>
      </c>
      <c r="B14">
        <v>0.26469999999999999</v>
      </c>
      <c r="C14" t="s">
        <v>12</v>
      </c>
    </row>
    <row r="15" spans="1:36" x14ac:dyDescent="0.15">
      <c r="A15">
        <v>2020</v>
      </c>
      <c r="B15">
        <v>0.94189999999999996</v>
      </c>
      <c r="C15" t="s">
        <v>12</v>
      </c>
    </row>
    <row r="16" spans="1:36" x14ac:dyDescent="0.15">
      <c r="A16">
        <v>2019</v>
      </c>
      <c r="B16">
        <v>-9.2999999999999999E-2</v>
      </c>
      <c r="C16" t="s">
        <v>12</v>
      </c>
      <c r="G16" s="5" t="s">
        <v>8</v>
      </c>
      <c r="H16" s="5" t="s">
        <v>13</v>
      </c>
      <c r="I16" s="5" t="s">
        <v>21</v>
      </c>
      <c r="J16" s="5" t="s">
        <v>11</v>
      </c>
      <c r="K16" s="5" t="s">
        <v>36</v>
      </c>
    </row>
    <row r="17" spans="1:11" x14ac:dyDescent="0.15">
      <c r="A17">
        <v>2018</v>
      </c>
      <c r="B17">
        <v>0.36959999999999998</v>
      </c>
      <c r="C17" t="s">
        <v>12</v>
      </c>
      <c r="G17" s="4">
        <v>2014</v>
      </c>
      <c r="H17">
        <v>483334</v>
      </c>
      <c r="I17">
        <v>8.9700000000000006</v>
      </c>
      <c r="J17">
        <v>603278</v>
      </c>
      <c r="K17">
        <v>0.27900000000000003</v>
      </c>
    </row>
    <row r="18" spans="1:11" x14ac:dyDescent="0.15">
      <c r="A18">
        <v>2017</v>
      </c>
      <c r="B18">
        <v>0.31080000000000002</v>
      </c>
      <c r="C18" t="s">
        <v>12</v>
      </c>
      <c r="G18" s="4">
        <v>2015</v>
      </c>
      <c r="H18">
        <v>512821</v>
      </c>
      <c r="I18">
        <v>7</v>
      </c>
      <c r="J18">
        <v>654159</v>
      </c>
      <c r="K18">
        <v>0.21299999999999999</v>
      </c>
    </row>
    <row r="19" spans="1:11" x14ac:dyDescent="0.15">
      <c r="A19">
        <v>2016</v>
      </c>
      <c r="B19">
        <v>-7.1599999999999997E-2</v>
      </c>
      <c r="C19" t="s">
        <v>12</v>
      </c>
      <c r="G19" s="4">
        <v>2016</v>
      </c>
      <c r="H19">
        <v>456778</v>
      </c>
      <c r="I19">
        <v>7.27</v>
      </c>
      <c r="J19">
        <v>607331</v>
      </c>
      <c r="K19">
        <v>0.26100000000000001</v>
      </c>
    </row>
    <row r="20" spans="1:11" x14ac:dyDescent="0.15">
      <c r="A20">
        <v>2015</v>
      </c>
      <c r="B20">
        <v>8.43E-2</v>
      </c>
      <c r="C20" t="s">
        <v>12</v>
      </c>
      <c r="G20" s="4">
        <v>2017</v>
      </c>
      <c r="H20">
        <v>642850</v>
      </c>
      <c r="I20">
        <v>9.68</v>
      </c>
      <c r="J20">
        <v>796065</v>
      </c>
      <c r="K20">
        <v>0.25900000000000001</v>
      </c>
    </row>
    <row r="21" spans="1:11" x14ac:dyDescent="0.15">
      <c r="A21">
        <v>2014</v>
      </c>
      <c r="B21">
        <v>0.3755</v>
      </c>
      <c r="C21" t="s">
        <v>12</v>
      </c>
      <c r="G21" s="4">
        <v>2018</v>
      </c>
      <c r="H21">
        <v>967690</v>
      </c>
      <c r="I21">
        <v>12.71</v>
      </c>
      <c r="J21">
        <v>1090307</v>
      </c>
      <c r="K21">
        <v>0.22700000000000001</v>
      </c>
    </row>
    <row r="22" spans="1:11" x14ac:dyDescent="0.15">
      <c r="A22">
        <v>2023</v>
      </c>
      <c r="B22">
        <v>2625726</v>
      </c>
      <c r="C22" t="s">
        <v>13</v>
      </c>
      <c r="G22" s="4">
        <v>2019</v>
      </c>
      <c r="H22">
        <v>891036</v>
      </c>
      <c r="I22">
        <v>12.86</v>
      </c>
      <c r="J22">
        <v>988887</v>
      </c>
      <c r="K22">
        <v>0.251</v>
      </c>
    </row>
    <row r="23" spans="1:11" x14ac:dyDescent="0.15">
      <c r="A23">
        <v>2022</v>
      </c>
      <c r="B23">
        <v>2368483</v>
      </c>
      <c r="C23" t="s">
        <v>13</v>
      </c>
      <c r="G23" s="4">
        <v>2020</v>
      </c>
      <c r="H23">
        <v>1840879</v>
      </c>
      <c r="I23">
        <v>26.31</v>
      </c>
      <c r="J23">
        <v>1920273</v>
      </c>
      <c r="K23">
        <v>0.24</v>
      </c>
    </row>
    <row r="24" spans="1:11" x14ac:dyDescent="0.15">
      <c r="A24">
        <v>2021</v>
      </c>
      <c r="B24">
        <v>2362815</v>
      </c>
      <c r="C24" t="s">
        <v>13</v>
      </c>
      <c r="G24" s="4">
        <v>2021</v>
      </c>
      <c r="H24">
        <v>2362815</v>
      </c>
      <c r="I24">
        <v>21.12</v>
      </c>
      <c r="J24">
        <v>2428612</v>
      </c>
      <c r="K24">
        <v>0.15</v>
      </c>
    </row>
    <row r="25" spans="1:11" x14ac:dyDescent="0.15">
      <c r="A25">
        <v>2020</v>
      </c>
      <c r="B25">
        <v>1840879</v>
      </c>
      <c r="C25" t="s">
        <v>13</v>
      </c>
      <c r="G25" s="4">
        <v>2022</v>
      </c>
      <c r="H25">
        <v>2368483</v>
      </c>
      <c r="I25">
        <v>19.41</v>
      </c>
      <c r="J25">
        <v>2417523</v>
      </c>
      <c r="K25">
        <v>0.14599999999999999</v>
      </c>
    </row>
    <row r="26" spans="1:11" x14ac:dyDescent="0.15">
      <c r="A26">
        <v>2019</v>
      </c>
      <c r="B26">
        <v>891036</v>
      </c>
      <c r="C26" t="s">
        <v>13</v>
      </c>
      <c r="G26" s="4">
        <v>2023</v>
      </c>
      <c r="H26">
        <v>2625726</v>
      </c>
      <c r="I26">
        <v>22.31</v>
      </c>
      <c r="J26">
        <v>2676737</v>
      </c>
      <c r="K26">
        <v>0.153</v>
      </c>
    </row>
    <row r="27" spans="1:11" x14ac:dyDescent="0.15">
      <c r="A27">
        <v>2018</v>
      </c>
      <c r="B27">
        <v>967690</v>
      </c>
      <c r="C27" t="s">
        <v>13</v>
      </c>
    </row>
    <row r="28" spans="1:11" x14ac:dyDescent="0.15">
      <c r="A28">
        <v>2017</v>
      </c>
      <c r="B28">
        <v>642850</v>
      </c>
      <c r="C28" t="s">
        <v>13</v>
      </c>
    </row>
    <row r="29" spans="1:11" x14ac:dyDescent="0.15">
      <c r="A29">
        <v>2016</v>
      </c>
      <c r="B29">
        <v>456778</v>
      </c>
      <c r="C29" t="s">
        <v>13</v>
      </c>
    </row>
    <row r="30" spans="1:11" x14ac:dyDescent="0.15">
      <c r="A30">
        <v>2015</v>
      </c>
      <c r="B30">
        <v>512821</v>
      </c>
      <c r="C30" t="s">
        <v>13</v>
      </c>
    </row>
    <row r="31" spans="1:11" x14ac:dyDescent="0.15">
      <c r="A31">
        <v>2014</v>
      </c>
      <c r="B31">
        <v>483334</v>
      </c>
      <c r="C31" t="s">
        <v>13</v>
      </c>
    </row>
    <row r="32" spans="1:11" x14ac:dyDescent="0.15">
      <c r="A32">
        <v>2023</v>
      </c>
      <c r="B32">
        <v>27.6</v>
      </c>
      <c r="C32" t="s">
        <v>14</v>
      </c>
    </row>
    <row r="33" spans="1:3" x14ac:dyDescent="0.15">
      <c r="A33">
        <v>2022</v>
      </c>
      <c r="B33">
        <v>24.22</v>
      </c>
      <c r="C33" t="s">
        <v>14</v>
      </c>
    </row>
    <row r="34" spans="1:3" x14ac:dyDescent="0.15">
      <c r="A34">
        <v>2021</v>
      </c>
      <c r="B34">
        <v>25.65</v>
      </c>
      <c r="C34" t="s">
        <v>14</v>
      </c>
    </row>
    <row r="35" spans="1:3" x14ac:dyDescent="0.15">
      <c r="A35">
        <v>2020</v>
      </c>
      <c r="B35">
        <v>33.450000000000003</v>
      </c>
      <c r="C35" t="s">
        <v>14</v>
      </c>
    </row>
    <row r="36" spans="1:3" x14ac:dyDescent="0.15">
      <c r="A36">
        <v>2019</v>
      </c>
      <c r="B36">
        <v>17.899999999999999</v>
      </c>
      <c r="C36" t="s">
        <v>14</v>
      </c>
    </row>
    <row r="37" spans="1:3" x14ac:dyDescent="0.15">
      <c r="A37">
        <v>2018</v>
      </c>
      <c r="B37">
        <v>18.32</v>
      </c>
      <c r="C37" t="s">
        <v>14</v>
      </c>
    </row>
    <row r="38" spans="1:3" x14ac:dyDescent="0.15">
      <c r="A38">
        <v>2017</v>
      </c>
      <c r="B38">
        <v>16.46</v>
      </c>
      <c r="C38" t="s">
        <v>14</v>
      </c>
    </row>
    <row r="39" spans="1:3" x14ac:dyDescent="0.15">
      <c r="A39">
        <v>2016</v>
      </c>
      <c r="B39">
        <v>13.29</v>
      </c>
      <c r="C39" t="s">
        <v>14</v>
      </c>
    </row>
    <row r="40" spans="1:3" x14ac:dyDescent="0.15">
      <c r="A40">
        <v>2015</v>
      </c>
      <c r="B40">
        <v>12.25</v>
      </c>
      <c r="C40" t="s">
        <v>14</v>
      </c>
    </row>
    <row r="41" spans="1:3" x14ac:dyDescent="0.15">
      <c r="A41">
        <v>2014</v>
      </c>
      <c r="B41">
        <v>15.27</v>
      </c>
      <c r="C41" t="s">
        <v>14</v>
      </c>
    </row>
    <row r="42" spans="1:3" x14ac:dyDescent="0.15">
      <c r="A42">
        <v>2023</v>
      </c>
      <c r="B42">
        <v>6.98</v>
      </c>
      <c r="C42" t="s">
        <v>15</v>
      </c>
    </row>
    <row r="43" spans="1:3" x14ac:dyDescent="0.15">
      <c r="A43">
        <v>2022</v>
      </c>
      <c r="B43">
        <v>6.13</v>
      </c>
      <c r="C43" t="s">
        <v>15</v>
      </c>
    </row>
    <row r="44" spans="1:3" x14ac:dyDescent="0.15">
      <c r="A44">
        <v>2021</v>
      </c>
      <c r="B44">
        <v>6.64</v>
      </c>
      <c r="C44" t="s">
        <v>15</v>
      </c>
    </row>
    <row r="45" spans="1:3" x14ac:dyDescent="0.15">
      <c r="A45">
        <v>2020</v>
      </c>
      <c r="B45">
        <v>7</v>
      </c>
      <c r="C45" t="s">
        <v>15</v>
      </c>
    </row>
    <row r="46" spans="1:3" x14ac:dyDescent="0.15">
      <c r="A46">
        <v>2019</v>
      </c>
      <c r="B46">
        <v>3.8</v>
      </c>
      <c r="C46" t="s">
        <v>15</v>
      </c>
    </row>
    <row r="47" spans="1:3" x14ac:dyDescent="0.15">
      <c r="A47">
        <v>2018</v>
      </c>
      <c r="B47">
        <v>4.1100000000000003</v>
      </c>
      <c r="C47" t="s">
        <v>15</v>
      </c>
    </row>
    <row r="48" spans="1:3" x14ac:dyDescent="0.15">
      <c r="A48">
        <v>2017</v>
      </c>
      <c r="B48">
        <v>3.47</v>
      </c>
      <c r="C48" t="s">
        <v>15</v>
      </c>
    </row>
    <row r="49" spans="1:3" x14ac:dyDescent="0.15">
      <c r="A49">
        <v>2016</v>
      </c>
      <c r="B49">
        <v>2.82</v>
      </c>
      <c r="C49" t="s">
        <v>15</v>
      </c>
    </row>
    <row r="50" spans="1:3" x14ac:dyDescent="0.15">
      <c r="A50">
        <v>2015</v>
      </c>
      <c r="B50">
        <v>2.8</v>
      </c>
      <c r="C50" t="s">
        <v>15</v>
      </c>
    </row>
    <row r="51" spans="1:3" x14ac:dyDescent="0.15">
      <c r="A51">
        <v>2014</v>
      </c>
      <c r="B51">
        <v>3.3</v>
      </c>
      <c r="C51" t="s">
        <v>15</v>
      </c>
    </row>
    <row r="52" spans="1:3" x14ac:dyDescent="0.15">
      <c r="A52">
        <v>2023</v>
      </c>
      <c r="B52">
        <v>43.07</v>
      </c>
      <c r="C52" t="s">
        <v>16</v>
      </c>
    </row>
    <row r="53" spans="1:3" x14ac:dyDescent="0.15">
      <c r="A53">
        <v>2022</v>
      </c>
      <c r="B53">
        <v>47.71</v>
      </c>
      <c r="C53" t="s">
        <v>16</v>
      </c>
    </row>
    <row r="54" spans="1:3" x14ac:dyDescent="0.15">
      <c r="A54">
        <v>2021</v>
      </c>
      <c r="B54">
        <v>38.49</v>
      </c>
      <c r="C54" t="s">
        <v>16</v>
      </c>
    </row>
    <row r="55" spans="1:3" x14ac:dyDescent="0.15">
      <c r="A55">
        <v>2020</v>
      </c>
      <c r="B55">
        <v>29.39</v>
      </c>
      <c r="C55" t="s">
        <v>16</v>
      </c>
    </row>
    <row r="56" spans="1:3" x14ac:dyDescent="0.15">
      <c r="A56">
        <v>2019</v>
      </c>
      <c r="B56">
        <v>10.93</v>
      </c>
      <c r="C56" t="s">
        <v>16</v>
      </c>
    </row>
    <row r="57" spans="1:3" x14ac:dyDescent="0.15">
      <c r="A57">
        <v>2018</v>
      </c>
      <c r="B57">
        <v>10.18</v>
      </c>
      <c r="C57" t="s">
        <v>16</v>
      </c>
    </row>
    <row r="58" spans="1:3" x14ac:dyDescent="0.15">
      <c r="A58">
        <v>2017</v>
      </c>
      <c r="B58">
        <v>5.94</v>
      </c>
      <c r="C58" t="s">
        <v>16</v>
      </c>
    </row>
    <row r="59" spans="1:3" x14ac:dyDescent="0.15">
      <c r="A59">
        <v>2016</v>
      </c>
      <c r="B59">
        <v>4.74</v>
      </c>
      <c r="C59" t="s">
        <v>16</v>
      </c>
    </row>
    <row r="60" spans="1:3" x14ac:dyDescent="0.15">
      <c r="A60">
        <v>2015</v>
      </c>
      <c r="B60">
        <v>5.48</v>
      </c>
      <c r="C60" t="s">
        <v>16</v>
      </c>
    </row>
    <row r="61" spans="1:3" x14ac:dyDescent="0.15">
      <c r="A61">
        <v>2014</v>
      </c>
      <c r="B61">
        <v>5.41</v>
      </c>
      <c r="C61" t="s">
        <v>16</v>
      </c>
    </row>
    <row r="62" spans="1:3" x14ac:dyDescent="0.15">
      <c r="A62">
        <v>2023</v>
      </c>
      <c r="B62">
        <v>26.88</v>
      </c>
      <c r="C62" t="s">
        <v>17</v>
      </c>
    </row>
    <row r="63" spans="1:3" x14ac:dyDescent="0.15">
      <c r="A63">
        <v>2022</v>
      </c>
      <c r="B63">
        <v>21.69</v>
      </c>
      <c r="C63" t="s">
        <v>17</v>
      </c>
    </row>
    <row r="64" spans="1:3" x14ac:dyDescent="0.15">
      <c r="A64">
        <v>2021</v>
      </c>
      <c r="B64">
        <v>26.13</v>
      </c>
      <c r="C64" t="s">
        <v>17</v>
      </c>
    </row>
    <row r="65" spans="1:3" x14ac:dyDescent="0.15">
      <c r="A65">
        <v>2020</v>
      </c>
      <c r="B65">
        <v>26.17</v>
      </c>
      <c r="C65" t="s">
        <v>17</v>
      </c>
    </row>
    <row r="66" spans="1:3" x14ac:dyDescent="0.15">
      <c r="A66">
        <v>2019</v>
      </c>
      <c r="B66">
        <v>16.79</v>
      </c>
      <c r="C66" t="s">
        <v>17</v>
      </c>
    </row>
    <row r="67" spans="1:3" x14ac:dyDescent="0.15">
      <c r="A67">
        <v>2018</v>
      </c>
      <c r="B67">
        <v>17</v>
      </c>
      <c r="C67" t="s">
        <v>17</v>
      </c>
    </row>
    <row r="68" spans="1:3" x14ac:dyDescent="0.15">
      <c r="A68">
        <v>2017</v>
      </c>
      <c r="B68">
        <v>15.38</v>
      </c>
      <c r="C68" t="s">
        <v>17</v>
      </c>
    </row>
    <row r="69" spans="1:3" x14ac:dyDescent="0.15">
      <c r="A69">
        <v>2016</v>
      </c>
      <c r="B69">
        <v>11.35</v>
      </c>
      <c r="C69" t="s">
        <v>17</v>
      </c>
    </row>
    <row r="70" spans="1:3" x14ac:dyDescent="0.15">
      <c r="A70">
        <v>2015</v>
      </c>
      <c r="B70">
        <v>9.3699999999999992</v>
      </c>
      <c r="C70" t="s">
        <v>17</v>
      </c>
    </row>
    <row r="71" spans="1:3" x14ac:dyDescent="0.15">
      <c r="A71">
        <v>2014</v>
      </c>
      <c r="B71">
        <v>12.09</v>
      </c>
      <c r="C71" t="s">
        <v>17</v>
      </c>
    </row>
    <row r="72" spans="1:3" x14ac:dyDescent="0.15">
      <c r="A72">
        <v>2023</v>
      </c>
      <c r="B72">
        <v>24.21</v>
      </c>
      <c r="C72" t="s">
        <v>18</v>
      </c>
    </row>
    <row r="73" spans="1:3" x14ac:dyDescent="0.15">
      <c r="A73">
        <v>2022</v>
      </c>
      <c r="B73">
        <v>19.79</v>
      </c>
      <c r="C73" t="s">
        <v>18</v>
      </c>
    </row>
    <row r="74" spans="1:3" x14ac:dyDescent="0.15">
      <c r="A74">
        <v>2021</v>
      </c>
      <c r="B74">
        <v>23.34</v>
      </c>
      <c r="C74" t="s">
        <v>18</v>
      </c>
    </row>
    <row r="75" spans="1:3" x14ac:dyDescent="0.15">
      <c r="A75">
        <v>2020</v>
      </c>
      <c r="B75">
        <v>23.8</v>
      </c>
      <c r="C75" t="s">
        <v>18</v>
      </c>
    </row>
    <row r="76" spans="1:3" x14ac:dyDescent="0.15">
      <c r="A76">
        <v>2019</v>
      </c>
      <c r="B76">
        <v>14.25</v>
      </c>
      <c r="C76" t="s">
        <v>18</v>
      </c>
    </row>
    <row r="77" spans="1:3" x14ac:dyDescent="0.15">
      <c r="A77">
        <v>2018</v>
      </c>
      <c r="B77">
        <v>14.08</v>
      </c>
      <c r="C77" t="s">
        <v>18</v>
      </c>
    </row>
    <row r="78" spans="1:3" x14ac:dyDescent="0.15">
      <c r="A78">
        <v>2017</v>
      </c>
      <c r="B78">
        <v>12.39</v>
      </c>
      <c r="C78" t="s">
        <v>18</v>
      </c>
    </row>
    <row r="79" spans="1:3" x14ac:dyDescent="0.15">
      <c r="A79">
        <v>2016</v>
      </c>
      <c r="B79">
        <v>9.17</v>
      </c>
      <c r="C79" t="s">
        <v>18</v>
      </c>
    </row>
    <row r="80" spans="1:3" x14ac:dyDescent="0.15">
      <c r="A80">
        <v>2015</v>
      </c>
      <c r="B80">
        <v>8.0500000000000007</v>
      </c>
      <c r="C80" t="s">
        <v>18</v>
      </c>
    </row>
    <row r="81" spans="1:3" x14ac:dyDescent="0.15">
      <c r="A81">
        <v>2014</v>
      </c>
      <c r="B81">
        <v>10.1</v>
      </c>
      <c r="C81" t="s">
        <v>18</v>
      </c>
    </row>
    <row r="82" spans="1:3" x14ac:dyDescent="0.15">
      <c r="A82">
        <v>2023</v>
      </c>
      <c r="B82">
        <v>6.85</v>
      </c>
      <c r="C82" t="s">
        <v>19</v>
      </c>
    </row>
    <row r="83" spans="1:3" x14ac:dyDescent="0.15">
      <c r="A83">
        <v>2022</v>
      </c>
      <c r="B83">
        <v>6.01</v>
      </c>
      <c r="C83" t="s">
        <v>19</v>
      </c>
    </row>
    <row r="84" spans="1:3" x14ac:dyDescent="0.15">
      <c r="A84">
        <v>2021</v>
      </c>
      <c r="B84">
        <v>6.46</v>
      </c>
      <c r="C84" t="s">
        <v>19</v>
      </c>
    </row>
    <row r="85" spans="1:3" x14ac:dyDescent="0.15">
      <c r="A85">
        <v>2020</v>
      </c>
      <c r="B85">
        <v>6.71</v>
      </c>
      <c r="C85" t="s">
        <v>19</v>
      </c>
    </row>
    <row r="86" spans="1:3" x14ac:dyDescent="0.15">
      <c r="A86">
        <v>2019</v>
      </c>
      <c r="B86">
        <v>3.42</v>
      </c>
      <c r="C86" t="s">
        <v>19</v>
      </c>
    </row>
    <row r="87" spans="1:3" x14ac:dyDescent="0.15">
      <c r="A87">
        <v>2018</v>
      </c>
      <c r="B87">
        <v>3.64</v>
      </c>
      <c r="C87" t="s">
        <v>19</v>
      </c>
    </row>
    <row r="88" spans="1:3" x14ac:dyDescent="0.15">
      <c r="A88">
        <v>2017</v>
      </c>
      <c r="B88">
        <v>2.8</v>
      </c>
      <c r="C88" t="s">
        <v>19</v>
      </c>
    </row>
    <row r="89" spans="1:3" x14ac:dyDescent="0.15">
      <c r="A89">
        <v>2016</v>
      </c>
      <c r="B89">
        <v>2.12</v>
      </c>
      <c r="C89" t="s">
        <v>19</v>
      </c>
    </row>
    <row r="90" spans="1:3" x14ac:dyDescent="0.15">
      <c r="A90">
        <v>2015</v>
      </c>
      <c r="B90">
        <v>2.19</v>
      </c>
      <c r="C90" t="s">
        <v>19</v>
      </c>
    </row>
    <row r="91" spans="1:3" x14ac:dyDescent="0.15">
      <c r="A91">
        <v>2014</v>
      </c>
      <c r="B91">
        <v>2.64</v>
      </c>
      <c r="C91" t="s">
        <v>19</v>
      </c>
    </row>
    <row r="92" spans="1:3" x14ac:dyDescent="0.15">
      <c r="A92">
        <v>2023</v>
      </c>
      <c r="B92">
        <v>20.32</v>
      </c>
      <c r="C92" t="s">
        <v>20</v>
      </c>
    </row>
    <row r="93" spans="1:3" x14ac:dyDescent="0.15">
      <c r="A93">
        <v>2022</v>
      </c>
      <c r="B93">
        <v>17.79</v>
      </c>
      <c r="C93" t="s">
        <v>20</v>
      </c>
    </row>
    <row r="94" spans="1:3" x14ac:dyDescent="0.15">
      <c r="A94">
        <v>2021</v>
      </c>
      <c r="B94">
        <v>19.190000000000001</v>
      </c>
      <c r="C94" t="s">
        <v>20</v>
      </c>
    </row>
    <row r="95" spans="1:3" x14ac:dyDescent="0.15">
      <c r="A95">
        <v>2020</v>
      </c>
      <c r="B95">
        <v>22.72</v>
      </c>
      <c r="C95" t="s">
        <v>20</v>
      </c>
    </row>
    <row r="96" spans="1:3" x14ac:dyDescent="0.15">
      <c r="A96">
        <v>2019</v>
      </c>
      <c r="B96">
        <v>10.88</v>
      </c>
      <c r="C96" t="s">
        <v>20</v>
      </c>
    </row>
    <row r="97" spans="1:3" x14ac:dyDescent="0.15">
      <c r="A97">
        <v>2018</v>
      </c>
      <c r="B97">
        <v>11.12</v>
      </c>
      <c r="C97" t="s">
        <v>20</v>
      </c>
    </row>
    <row r="98" spans="1:3" x14ac:dyDescent="0.15">
      <c r="A98">
        <v>2017</v>
      </c>
      <c r="B98">
        <v>8.4</v>
      </c>
      <c r="C98" t="s">
        <v>20</v>
      </c>
    </row>
    <row r="99" spans="1:3" x14ac:dyDescent="0.15">
      <c r="A99">
        <v>2016</v>
      </c>
      <c r="B99">
        <v>6.23</v>
      </c>
      <c r="C99" t="s">
        <v>20</v>
      </c>
    </row>
    <row r="100" spans="1:3" x14ac:dyDescent="0.15">
      <c r="A100">
        <v>2015</v>
      </c>
      <c r="B100">
        <v>6.07</v>
      </c>
      <c r="C100" t="s">
        <v>20</v>
      </c>
    </row>
    <row r="101" spans="1:3" x14ac:dyDescent="0.15">
      <c r="A101">
        <v>2014</v>
      </c>
      <c r="B101">
        <v>7.82</v>
      </c>
      <c r="C101" t="s">
        <v>20</v>
      </c>
    </row>
    <row r="102" spans="1:3" x14ac:dyDescent="0.15">
      <c r="A102">
        <v>2023</v>
      </c>
      <c r="B102">
        <v>22.31</v>
      </c>
      <c r="C102" t="s">
        <v>21</v>
      </c>
    </row>
    <row r="103" spans="1:3" x14ac:dyDescent="0.15">
      <c r="A103">
        <v>2022</v>
      </c>
      <c r="B103">
        <v>19.41</v>
      </c>
      <c r="C103" t="s">
        <v>21</v>
      </c>
    </row>
    <row r="104" spans="1:3" x14ac:dyDescent="0.15">
      <c r="A104">
        <v>2021</v>
      </c>
      <c r="B104">
        <v>21.12</v>
      </c>
      <c r="C104" t="s">
        <v>21</v>
      </c>
    </row>
    <row r="105" spans="1:3" x14ac:dyDescent="0.15">
      <c r="A105">
        <v>2020</v>
      </c>
      <c r="B105">
        <v>26.31</v>
      </c>
      <c r="C105" t="s">
        <v>21</v>
      </c>
    </row>
    <row r="106" spans="1:3" x14ac:dyDescent="0.15">
      <c r="A106">
        <v>2019</v>
      </c>
      <c r="B106">
        <v>12.86</v>
      </c>
      <c r="C106" t="s">
        <v>21</v>
      </c>
    </row>
    <row r="107" spans="1:3" x14ac:dyDescent="0.15">
      <c r="A107">
        <v>2018</v>
      </c>
      <c r="B107">
        <v>12.71</v>
      </c>
      <c r="C107" t="s">
        <v>21</v>
      </c>
    </row>
    <row r="108" spans="1:3" x14ac:dyDescent="0.15">
      <c r="A108">
        <v>2017</v>
      </c>
      <c r="B108">
        <v>9.68</v>
      </c>
      <c r="C108" t="s">
        <v>21</v>
      </c>
    </row>
    <row r="109" spans="1:3" x14ac:dyDescent="0.15">
      <c r="A109">
        <v>2016</v>
      </c>
      <c r="B109">
        <v>7.27</v>
      </c>
      <c r="C109" t="s">
        <v>21</v>
      </c>
    </row>
    <row r="110" spans="1:3" x14ac:dyDescent="0.15">
      <c r="A110">
        <v>2015</v>
      </c>
      <c r="B110">
        <v>7</v>
      </c>
      <c r="C110" t="s">
        <v>21</v>
      </c>
    </row>
    <row r="111" spans="1:3" x14ac:dyDescent="0.15">
      <c r="A111">
        <v>2014</v>
      </c>
      <c r="B111">
        <v>8.9700000000000006</v>
      </c>
      <c r="C111" t="s">
        <v>21</v>
      </c>
    </row>
    <row r="112" spans="1:3" x14ac:dyDescent="0.15">
      <c r="A112">
        <v>2023</v>
      </c>
      <c r="B112">
        <v>26.37</v>
      </c>
      <c r="C112" t="s">
        <v>22</v>
      </c>
    </row>
    <row r="113" spans="1:3" x14ac:dyDescent="0.15">
      <c r="A113">
        <v>2022</v>
      </c>
      <c r="B113">
        <v>21.25</v>
      </c>
      <c r="C113" t="s">
        <v>22</v>
      </c>
    </row>
    <row r="114" spans="1:3" x14ac:dyDescent="0.15">
      <c r="A114">
        <v>2021</v>
      </c>
      <c r="B114">
        <v>25.42</v>
      </c>
      <c r="C114" t="s">
        <v>22</v>
      </c>
    </row>
    <row r="115" spans="1:3" x14ac:dyDescent="0.15">
      <c r="A115">
        <v>2020</v>
      </c>
      <c r="B115">
        <v>25.09</v>
      </c>
      <c r="C115" t="s">
        <v>22</v>
      </c>
    </row>
    <row r="116" spans="1:3" x14ac:dyDescent="0.15">
      <c r="A116">
        <v>2019</v>
      </c>
      <c r="B116">
        <v>15.13</v>
      </c>
      <c r="C116" t="s">
        <v>22</v>
      </c>
    </row>
    <row r="117" spans="1:3" x14ac:dyDescent="0.15">
      <c r="A117">
        <v>2018</v>
      </c>
      <c r="B117">
        <v>15.09</v>
      </c>
      <c r="C117" t="s">
        <v>22</v>
      </c>
    </row>
    <row r="118" spans="1:3" x14ac:dyDescent="0.15">
      <c r="A118">
        <v>2017</v>
      </c>
      <c r="B118">
        <v>12.42</v>
      </c>
      <c r="C118" t="s">
        <v>22</v>
      </c>
    </row>
    <row r="119" spans="1:3" x14ac:dyDescent="0.15">
      <c r="A119">
        <v>2016</v>
      </c>
      <c r="B119">
        <v>8.5399999999999991</v>
      </c>
      <c r="C119" t="s">
        <v>22</v>
      </c>
    </row>
    <row r="120" spans="1:3" x14ac:dyDescent="0.15">
      <c r="A120">
        <v>2015</v>
      </c>
      <c r="B120">
        <v>7.35</v>
      </c>
      <c r="C120" t="s">
        <v>22</v>
      </c>
    </row>
    <row r="121" spans="1:3" x14ac:dyDescent="0.15">
      <c r="A121">
        <v>2014</v>
      </c>
      <c r="B121">
        <v>9.69</v>
      </c>
      <c r="C121" t="s">
        <v>22</v>
      </c>
    </row>
    <row r="122" spans="1:3" x14ac:dyDescent="0.15">
      <c r="A122">
        <v>2023</v>
      </c>
      <c r="B122">
        <v>1.79</v>
      </c>
      <c r="C122" t="s">
        <v>23</v>
      </c>
    </row>
    <row r="123" spans="1:3" x14ac:dyDescent="0.15">
      <c r="A123">
        <v>2022</v>
      </c>
      <c r="B123">
        <v>2.37</v>
      </c>
      <c r="C123" t="s">
        <v>23</v>
      </c>
    </row>
    <row r="124" spans="1:3" x14ac:dyDescent="0.15">
      <c r="A124">
        <v>2021</v>
      </c>
      <c r="B124">
        <v>1.98</v>
      </c>
      <c r="C124" t="s">
        <v>23</v>
      </c>
    </row>
    <row r="125" spans="1:3" x14ac:dyDescent="0.15">
      <c r="A125">
        <v>2020</v>
      </c>
      <c r="B125">
        <v>1.72</v>
      </c>
      <c r="C125" t="s">
        <v>23</v>
      </c>
    </row>
    <row r="126" spans="1:3" x14ac:dyDescent="0.15">
      <c r="A126">
        <v>2019</v>
      </c>
      <c r="B126">
        <v>1.19</v>
      </c>
      <c r="C126" t="s">
        <v>23</v>
      </c>
    </row>
    <row r="127" spans="1:3" x14ac:dyDescent="0.15">
      <c r="A127">
        <v>2018</v>
      </c>
      <c r="B127">
        <v>1.07</v>
      </c>
      <c r="C127" t="s">
        <v>23</v>
      </c>
    </row>
    <row r="128" spans="1:3" x14ac:dyDescent="0.15">
      <c r="A128">
        <v>2017</v>
      </c>
      <c r="B128">
        <v>0.86</v>
      </c>
      <c r="C128" t="s">
        <v>23</v>
      </c>
    </row>
    <row r="129" spans="1:3" x14ac:dyDescent="0.15">
      <c r="A129">
        <v>2016</v>
      </c>
      <c r="B129">
        <v>0.68</v>
      </c>
      <c r="C129" t="s">
        <v>23</v>
      </c>
    </row>
    <row r="130" spans="1:3" x14ac:dyDescent="0.15">
      <c r="A130">
        <v>2015</v>
      </c>
      <c r="B130">
        <v>0.54</v>
      </c>
      <c r="C130" t="s">
        <v>23</v>
      </c>
    </row>
    <row r="131" spans="1:3" x14ac:dyDescent="0.15">
      <c r="A131">
        <v>2014</v>
      </c>
      <c r="B131">
        <v>0.32</v>
      </c>
      <c r="C131" t="s">
        <v>23</v>
      </c>
    </row>
    <row r="132" spans="1:3" x14ac:dyDescent="0.15">
      <c r="A132">
        <v>2023</v>
      </c>
      <c r="B132">
        <v>0.86</v>
      </c>
      <c r="C132" t="s">
        <v>24</v>
      </c>
    </row>
    <row r="133" spans="1:3" x14ac:dyDescent="0.15">
      <c r="A133">
        <v>2022</v>
      </c>
      <c r="B133">
        <v>0.9</v>
      </c>
      <c r="C133" t="s">
        <v>24</v>
      </c>
    </row>
    <row r="134" spans="1:3" x14ac:dyDescent="0.15">
      <c r="A134">
        <v>2021</v>
      </c>
      <c r="B134">
        <v>1.01</v>
      </c>
      <c r="C134" t="s">
        <v>24</v>
      </c>
    </row>
    <row r="135" spans="1:3" x14ac:dyDescent="0.15">
      <c r="A135">
        <v>2020</v>
      </c>
      <c r="B135">
        <v>1.39</v>
      </c>
      <c r="C135" t="s">
        <v>24</v>
      </c>
    </row>
    <row r="136" spans="1:3" x14ac:dyDescent="0.15">
      <c r="A136">
        <v>2019</v>
      </c>
      <c r="B136">
        <v>1.32</v>
      </c>
      <c r="C136" t="s">
        <v>24</v>
      </c>
    </row>
    <row r="137" spans="1:3" x14ac:dyDescent="0.15">
      <c r="A137">
        <v>2018</v>
      </c>
      <c r="B137">
        <v>1.32</v>
      </c>
      <c r="C137" t="s">
        <v>24</v>
      </c>
    </row>
    <row r="138" spans="1:3" x14ac:dyDescent="0.15">
      <c r="A138">
        <v>2017</v>
      </c>
      <c r="B138">
        <v>1.51</v>
      </c>
      <c r="C138" t="s">
        <v>24</v>
      </c>
    </row>
    <row r="139" spans="1:3" x14ac:dyDescent="0.15">
      <c r="A139">
        <v>2016</v>
      </c>
      <c r="B139">
        <v>1.19</v>
      </c>
      <c r="C139" t="s">
        <v>24</v>
      </c>
    </row>
    <row r="140" spans="1:3" x14ac:dyDescent="0.15">
      <c r="A140">
        <v>2015</v>
      </c>
      <c r="B140">
        <v>0.76</v>
      </c>
      <c r="C140" t="s">
        <v>24</v>
      </c>
    </row>
    <row r="141" spans="1:3" x14ac:dyDescent="0.15">
      <c r="A141">
        <v>2014</v>
      </c>
      <c r="B141">
        <v>0.56999999999999995</v>
      </c>
      <c r="C141" t="s">
        <v>24</v>
      </c>
    </row>
    <row r="142" spans="1:3" x14ac:dyDescent="0.15">
      <c r="A142">
        <v>2023</v>
      </c>
      <c r="B142">
        <v>1.1200000000000001</v>
      </c>
      <c r="C142" t="s">
        <v>25</v>
      </c>
    </row>
    <row r="143" spans="1:3" x14ac:dyDescent="0.15">
      <c r="A143">
        <v>2022</v>
      </c>
      <c r="B143">
        <v>1.08</v>
      </c>
      <c r="C143" t="s">
        <v>25</v>
      </c>
    </row>
    <row r="144" spans="1:3" x14ac:dyDescent="0.15">
      <c r="A144">
        <v>2021</v>
      </c>
      <c r="B144">
        <v>1.34</v>
      </c>
      <c r="C144" t="s">
        <v>25</v>
      </c>
    </row>
    <row r="145" spans="1:3" x14ac:dyDescent="0.15">
      <c r="A145">
        <v>2020</v>
      </c>
      <c r="B145">
        <v>1.53</v>
      </c>
      <c r="C145" t="s">
        <v>25</v>
      </c>
    </row>
    <row r="146" spans="1:3" x14ac:dyDescent="0.15">
      <c r="A146">
        <v>2019</v>
      </c>
      <c r="B146">
        <v>1.83</v>
      </c>
      <c r="C146" t="s">
        <v>25</v>
      </c>
    </row>
    <row r="147" spans="1:3" x14ac:dyDescent="0.15">
      <c r="A147">
        <v>2018</v>
      </c>
      <c r="B147">
        <v>1.79</v>
      </c>
      <c r="C147" t="s">
        <v>25</v>
      </c>
    </row>
    <row r="148" spans="1:3" x14ac:dyDescent="0.15">
      <c r="A148">
        <v>2017</v>
      </c>
      <c r="B148">
        <v>2.23</v>
      </c>
      <c r="C148" t="s">
        <v>25</v>
      </c>
    </row>
    <row r="149" spans="1:3" x14ac:dyDescent="0.15">
      <c r="A149">
        <v>2016</v>
      </c>
      <c r="B149">
        <v>1.63</v>
      </c>
      <c r="C149" t="s">
        <v>25</v>
      </c>
    </row>
    <row r="150" spans="1:3" x14ac:dyDescent="0.15">
      <c r="A150">
        <v>2015</v>
      </c>
      <c r="B150">
        <v>0.92</v>
      </c>
      <c r="C150" t="s">
        <v>25</v>
      </c>
    </row>
    <row r="151" spans="1:3" x14ac:dyDescent="0.15">
      <c r="A151">
        <v>2014</v>
      </c>
      <c r="B151">
        <v>0.71</v>
      </c>
      <c r="C151" t="s">
        <v>25</v>
      </c>
    </row>
    <row r="152" spans="1:3" x14ac:dyDescent="0.15">
      <c r="A152">
        <v>2023</v>
      </c>
      <c r="B152">
        <v>0.84</v>
      </c>
      <c r="C152" t="s">
        <v>26</v>
      </c>
    </row>
    <row r="153" spans="1:3" x14ac:dyDescent="0.15">
      <c r="A153">
        <v>2022</v>
      </c>
      <c r="B153">
        <v>0.71</v>
      </c>
      <c r="C153" t="s">
        <v>26</v>
      </c>
    </row>
    <row r="154" spans="1:3" x14ac:dyDescent="0.15">
      <c r="A154">
        <v>2021</v>
      </c>
      <c r="B154">
        <v>0.91</v>
      </c>
      <c r="C154" t="s">
        <v>26</v>
      </c>
    </row>
    <row r="155" spans="1:3" x14ac:dyDescent="0.15">
      <c r="A155">
        <v>2020</v>
      </c>
      <c r="B155">
        <v>1.22</v>
      </c>
      <c r="C155" t="s">
        <v>26</v>
      </c>
    </row>
    <row r="156" spans="1:3" x14ac:dyDescent="0.15">
      <c r="A156">
        <v>2019</v>
      </c>
      <c r="B156">
        <v>1.38</v>
      </c>
      <c r="C156" t="s">
        <v>26</v>
      </c>
    </row>
    <row r="157" spans="1:3" x14ac:dyDescent="0.15">
      <c r="A157">
        <v>2018</v>
      </c>
      <c r="B157">
        <v>0.99</v>
      </c>
      <c r="C157" t="s">
        <v>26</v>
      </c>
    </row>
    <row r="158" spans="1:3" x14ac:dyDescent="0.15">
      <c r="A158">
        <v>2017</v>
      </c>
      <c r="B158">
        <v>1.0900000000000001</v>
      </c>
      <c r="C158" t="s">
        <v>26</v>
      </c>
    </row>
    <row r="159" spans="1:3" x14ac:dyDescent="0.15">
      <c r="A159">
        <v>2016</v>
      </c>
      <c r="B159">
        <v>1.22</v>
      </c>
      <c r="C159" t="s">
        <v>26</v>
      </c>
    </row>
    <row r="160" spans="1:3" x14ac:dyDescent="0.15">
      <c r="A160">
        <v>2015</v>
      </c>
      <c r="B160">
        <v>0.89</v>
      </c>
      <c r="C160" t="s">
        <v>26</v>
      </c>
    </row>
    <row r="161" spans="1:3" x14ac:dyDescent="0.15">
      <c r="A161">
        <v>2014</v>
      </c>
      <c r="B161">
        <v>0.82</v>
      </c>
      <c r="C161" t="s">
        <v>26</v>
      </c>
    </row>
    <row r="162" spans="1:3" x14ac:dyDescent="0.15">
      <c r="A162">
        <v>2023</v>
      </c>
      <c r="B162">
        <v>0.99</v>
      </c>
      <c r="C162" t="s">
        <v>27</v>
      </c>
    </row>
    <row r="163" spans="1:3" x14ac:dyDescent="0.15">
      <c r="A163">
        <v>2022</v>
      </c>
      <c r="B163">
        <v>0.88</v>
      </c>
      <c r="C163" t="s">
        <v>27</v>
      </c>
    </row>
    <row r="164" spans="1:3" x14ac:dyDescent="0.15">
      <c r="A164">
        <v>2021</v>
      </c>
      <c r="B164">
        <v>1.08</v>
      </c>
      <c r="C164" t="s">
        <v>27</v>
      </c>
    </row>
    <row r="165" spans="1:3" x14ac:dyDescent="0.15">
      <c r="A165">
        <v>2020</v>
      </c>
      <c r="B165">
        <v>1.36</v>
      </c>
      <c r="C165" t="s">
        <v>27</v>
      </c>
    </row>
    <row r="166" spans="1:3" x14ac:dyDescent="0.15">
      <c r="A166">
        <v>2019</v>
      </c>
      <c r="B166">
        <v>1.54</v>
      </c>
      <c r="C166" t="s">
        <v>27</v>
      </c>
    </row>
    <row r="167" spans="1:3" x14ac:dyDescent="0.15">
      <c r="A167">
        <v>2018</v>
      </c>
      <c r="B167">
        <v>1.1299999999999999</v>
      </c>
      <c r="C167" t="s">
        <v>27</v>
      </c>
    </row>
    <row r="168" spans="1:3" x14ac:dyDescent="0.15">
      <c r="A168">
        <v>2017</v>
      </c>
      <c r="B168">
        <v>1.28</v>
      </c>
      <c r="C168" t="s">
        <v>27</v>
      </c>
    </row>
    <row r="169" spans="1:3" x14ac:dyDescent="0.15">
      <c r="A169">
        <v>2016</v>
      </c>
      <c r="B169">
        <v>1.35</v>
      </c>
      <c r="C169" t="s">
        <v>27</v>
      </c>
    </row>
    <row r="170" spans="1:3" x14ac:dyDescent="0.15">
      <c r="A170">
        <v>2015</v>
      </c>
      <c r="B170">
        <v>1.1100000000000001</v>
      </c>
      <c r="C170" t="s">
        <v>27</v>
      </c>
    </row>
    <row r="171" spans="1:3" x14ac:dyDescent="0.15">
      <c r="A171">
        <v>2014</v>
      </c>
      <c r="B171">
        <v>1.08</v>
      </c>
      <c r="C171" t="s">
        <v>27</v>
      </c>
    </row>
    <row r="172" spans="1:3" x14ac:dyDescent="0.15">
      <c r="A172">
        <v>2023</v>
      </c>
      <c r="B172">
        <v>1.1200000000000001</v>
      </c>
      <c r="C172" t="s">
        <v>28</v>
      </c>
    </row>
    <row r="173" spans="1:3" x14ac:dyDescent="0.15">
      <c r="A173">
        <v>2022</v>
      </c>
      <c r="B173">
        <v>1.1100000000000001</v>
      </c>
      <c r="C173" t="s">
        <v>28</v>
      </c>
    </row>
    <row r="174" spans="1:3" x14ac:dyDescent="0.15">
      <c r="A174">
        <v>2021</v>
      </c>
      <c r="B174">
        <v>1.07</v>
      </c>
      <c r="C174" t="s">
        <v>28</v>
      </c>
    </row>
    <row r="175" spans="1:3" x14ac:dyDescent="0.15">
      <c r="A175">
        <v>2020</v>
      </c>
      <c r="B175">
        <v>0.84</v>
      </c>
      <c r="C175" t="s">
        <v>28</v>
      </c>
    </row>
    <row r="176" spans="1:3" x14ac:dyDescent="0.15">
      <c r="A176">
        <v>2019</v>
      </c>
      <c r="B176">
        <v>0.76</v>
      </c>
      <c r="C176" t="s">
        <v>28</v>
      </c>
    </row>
    <row r="177" spans="1:3" x14ac:dyDescent="0.15">
      <c r="A177">
        <v>2018</v>
      </c>
      <c r="B177">
        <v>0.71</v>
      </c>
      <c r="C177" t="s">
        <v>28</v>
      </c>
    </row>
    <row r="178" spans="1:3" x14ac:dyDescent="0.15">
      <c r="A178">
        <v>2017</v>
      </c>
      <c r="B178">
        <v>0.66</v>
      </c>
      <c r="C178" t="s">
        <v>28</v>
      </c>
    </row>
    <row r="179" spans="1:3" x14ac:dyDescent="0.15">
      <c r="A179">
        <v>2016</v>
      </c>
      <c r="B179">
        <v>0.7</v>
      </c>
      <c r="C179" t="s">
        <v>28</v>
      </c>
    </row>
    <row r="180" spans="1:3" x14ac:dyDescent="0.15">
      <c r="A180">
        <v>2015</v>
      </c>
      <c r="B180">
        <v>0.86</v>
      </c>
      <c r="C180" t="s">
        <v>28</v>
      </c>
    </row>
    <row r="181" spans="1:3" x14ac:dyDescent="0.15">
      <c r="A181">
        <v>2014</v>
      </c>
      <c r="B181">
        <v>0.83</v>
      </c>
      <c r="C181" t="s">
        <v>28</v>
      </c>
    </row>
    <row r="182" spans="1:3" x14ac:dyDescent="0.15">
      <c r="A182">
        <v>2023</v>
      </c>
      <c r="B182">
        <v>29.92</v>
      </c>
      <c r="C182" t="s">
        <v>29</v>
      </c>
    </row>
    <row r="183" spans="1:3" x14ac:dyDescent="0.15">
      <c r="A183">
        <v>2022</v>
      </c>
      <c r="B183">
        <v>41.64</v>
      </c>
      <c r="C183" t="s">
        <v>29</v>
      </c>
    </row>
    <row r="184" spans="1:3" x14ac:dyDescent="0.15">
      <c r="A184">
        <v>2021</v>
      </c>
      <c r="B184">
        <v>42.29</v>
      </c>
      <c r="C184" t="s">
        <v>29</v>
      </c>
    </row>
    <row r="185" spans="1:3" x14ac:dyDescent="0.15">
      <c r="A185">
        <v>2020</v>
      </c>
      <c r="B185">
        <v>24.35</v>
      </c>
      <c r="C185" t="s">
        <v>29</v>
      </c>
    </row>
    <row r="186" spans="1:3" x14ac:dyDescent="0.15">
      <c r="A186">
        <v>2019</v>
      </c>
      <c r="B186">
        <v>19.38</v>
      </c>
      <c r="C186" t="s">
        <v>29</v>
      </c>
    </row>
    <row r="187" spans="1:3" x14ac:dyDescent="0.15">
      <c r="A187">
        <v>2018</v>
      </c>
      <c r="B187">
        <v>23.5</v>
      </c>
      <c r="C187" t="s">
        <v>29</v>
      </c>
    </row>
    <row r="188" spans="1:3" x14ac:dyDescent="0.15">
      <c r="A188">
        <v>2017</v>
      </c>
      <c r="B188">
        <v>28.59</v>
      </c>
      <c r="C188" t="s">
        <v>29</v>
      </c>
    </row>
    <row r="189" spans="1:3" x14ac:dyDescent="0.15">
      <c r="A189">
        <v>2016</v>
      </c>
      <c r="B189">
        <v>43.15</v>
      </c>
      <c r="C189" t="s">
        <v>29</v>
      </c>
    </row>
    <row r="190" spans="1:3" x14ac:dyDescent="0.15">
      <c r="A190">
        <v>2015</v>
      </c>
      <c r="B190">
        <v>99.93</v>
      </c>
      <c r="C190" t="s">
        <v>29</v>
      </c>
    </row>
    <row r="191" spans="1:3" x14ac:dyDescent="0.15">
      <c r="A191">
        <v>2014</v>
      </c>
      <c r="B191">
        <v>140.28</v>
      </c>
      <c r="C191" t="s">
        <v>29</v>
      </c>
    </row>
    <row r="192" spans="1:3" x14ac:dyDescent="0.15">
      <c r="A192">
        <v>2023</v>
      </c>
      <c r="B192">
        <v>1.6080000000000001</v>
      </c>
      <c r="C192" t="s">
        <v>30</v>
      </c>
    </row>
    <row r="193" spans="1:3" x14ac:dyDescent="0.15">
      <c r="A193">
        <v>2022</v>
      </c>
      <c r="B193">
        <v>1.609</v>
      </c>
      <c r="C193" t="s">
        <v>30</v>
      </c>
    </row>
    <row r="194" spans="1:3" x14ac:dyDescent="0.15">
      <c r="A194">
        <v>2021</v>
      </c>
      <c r="B194">
        <v>1.4410000000000001</v>
      </c>
      <c r="C194" t="s">
        <v>30</v>
      </c>
    </row>
    <row r="195" spans="1:3" x14ac:dyDescent="0.15">
      <c r="A195">
        <v>2020</v>
      </c>
      <c r="B195">
        <v>0.752</v>
      </c>
      <c r="C195" t="s">
        <v>30</v>
      </c>
    </row>
    <row r="196" spans="1:3" x14ac:dyDescent="0.15">
      <c r="A196">
        <v>2019</v>
      </c>
      <c r="B196">
        <v>0.53800000000000003</v>
      </c>
      <c r="C196" t="s">
        <v>30</v>
      </c>
    </row>
    <row r="197" spans="1:3" x14ac:dyDescent="0.15">
      <c r="A197">
        <v>2018</v>
      </c>
      <c r="B197">
        <v>0.48699999999999999</v>
      </c>
      <c r="C197" t="s">
        <v>30</v>
      </c>
    </row>
    <row r="198" spans="1:3" x14ac:dyDescent="0.15">
      <c r="A198">
        <v>2017</v>
      </c>
      <c r="B198">
        <v>0.36299999999999999</v>
      </c>
      <c r="C198" t="s">
        <v>30</v>
      </c>
    </row>
    <row r="199" spans="1:3" x14ac:dyDescent="0.15">
      <c r="A199">
        <v>2016</v>
      </c>
      <c r="B199">
        <v>0.35599999999999998</v>
      </c>
      <c r="C199" t="s">
        <v>30</v>
      </c>
    </row>
    <row r="200" spans="1:3" x14ac:dyDescent="0.15">
      <c r="A200">
        <v>2015</v>
      </c>
      <c r="B200">
        <v>0.42899999999999999</v>
      </c>
      <c r="C200" t="s">
        <v>30</v>
      </c>
    </row>
    <row r="201" spans="1:3" x14ac:dyDescent="0.15">
      <c r="A201">
        <v>2014</v>
      </c>
      <c r="B201">
        <v>0.32800000000000001</v>
      </c>
      <c r="C201" t="s">
        <v>30</v>
      </c>
    </row>
    <row r="202" spans="1:3" x14ac:dyDescent="0.15">
      <c r="A202">
        <v>2023</v>
      </c>
      <c r="B202">
        <v>0.28399999999999997</v>
      </c>
      <c r="C202" t="s">
        <v>31</v>
      </c>
    </row>
    <row r="203" spans="1:3" x14ac:dyDescent="0.15">
      <c r="A203">
        <v>2022</v>
      </c>
      <c r="B203">
        <v>0.28100000000000003</v>
      </c>
      <c r="C203" t="s">
        <v>31</v>
      </c>
    </row>
    <row r="204" spans="1:3" x14ac:dyDescent="0.15">
      <c r="A204">
        <v>2021</v>
      </c>
      <c r="B204">
        <v>0.27600000000000002</v>
      </c>
      <c r="C204" t="s">
        <v>31</v>
      </c>
    </row>
    <row r="205" spans="1:3" x14ac:dyDescent="0.15">
      <c r="A205">
        <v>2020</v>
      </c>
      <c r="B205">
        <v>0.17599999999999999</v>
      </c>
      <c r="C205" t="s">
        <v>31</v>
      </c>
    </row>
    <row r="206" spans="1:3" x14ac:dyDescent="0.15">
      <c r="A206">
        <v>2019</v>
      </c>
      <c r="B206">
        <v>0.161</v>
      </c>
      <c r="C206" t="s">
        <v>31</v>
      </c>
    </row>
    <row r="207" spans="1:3" x14ac:dyDescent="0.15">
      <c r="A207">
        <v>2018</v>
      </c>
      <c r="B207">
        <v>0.16</v>
      </c>
      <c r="C207" t="s">
        <v>31</v>
      </c>
    </row>
    <row r="208" spans="1:3" x14ac:dyDescent="0.15">
      <c r="A208">
        <v>2017</v>
      </c>
      <c r="B208">
        <v>0.14000000000000001</v>
      </c>
      <c r="C208" t="s">
        <v>31</v>
      </c>
    </row>
    <row r="209" spans="1:3" x14ac:dyDescent="0.15">
      <c r="A209">
        <v>2016</v>
      </c>
      <c r="B209">
        <v>0.14899999999999999</v>
      </c>
      <c r="C209" t="s">
        <v>31</v>
      </c>
    </row>
    <row r="210" spans="1:3" x14ac:dyDescent="0.15">
      <c r="A210">
        <v>2015</v>
      </c>
      <c r="B210">
        <v>0.19700000000000001</v>
      </c>
      <c r="C210" t="s">
        <v>31</v>
      </c>
    </row>
    <row r="211" spans="1:3" x14ac:dyDescent="0.15">
      <c r="A211">
        <v>2014</v>
      </c>
      <c r="B211">
        <v>0.17799999999999999</v>
      </c>
      <c r="C211" t="s">
        <v>31</v>
      </c>
    </row>
    <row r="212" spans="1:3" x14ac:dyDescent="0.15">
      <c r="A212">
        <v>2023</v>
      </c>
      <c r="B212">
        <v>0.56269999999999998</v>
      </c>
      <c r="C212" t="s">
        <v>32</v>
      </c>
    </row>
    <row r="213" spans="1:3" x14ac:dyDescent="0.15">
      <c r="A213">
        <v>2022</v>
      </c>
      <c r="B213">
        <v>0.58620000000000005</v>
      </c>
      <c r="C213" t="s">
        <v>32</v>
      </c>
    </row>
    <row r="214" spans="1:3" x14ac:dyDescent="0.15">
      <c r="A214">
        <v>2021</v>
      </c>
      <c r="B214">
        <v>0.50290000000000001</v>
      </c>
      <c r="C214" t="s">
        <v>32</v>
      </c>
    </row>
    <row r="215" spans="1:3" x14ac:dyDescent="0.15">
      <c r="A215">
        <v>2020</v>
      </c>
      <c r="B215">
        <v>0.31909999999999999</v>
      </c>
      <c r="C215" t="s">
        <v>32</v>
      </c>
    </row>
    <row r="216" spans="1:3" x14ac:dyDescent="0.15">
      <c r="A216">
        <v>2019</v>
      </c>
      <c r="B216">
        <v>0.2707</v>
      </c>
      <c r="C216" t="s">
        <v>32</v>
      </c>
    </row>
    <row r="217" spans="1:3" x14ac:dyDescent="0.15">
      <c r="A217">
        <v>2018</v>
      </c>
      <c r="B217">
        <v>0.26119999999999999</v>
      </c>
      <c r="C217" t="s">
        <v>32</v>
      </c>
    </row>
    <row r="218" spans="1:3" x14ac:dyDescent="0.15">
      <c r="A218">
        <v>2017</v>
      </c>
      <c r="B218">
        <v>0.18529999999999999</v>
      </c>
      <c r="C218" t="s">
        <v>32</v>
      </c>
    </row>
    <row r="219" spans="1:3" x14ac:dyDescent="0.15">
      <c r="A219">
        <v>2016</v>
      </c>
      <c r="B219">
        <v>0.20760000000000001</v>
      </c>
      <c r="C219" t="s">
        <v>32</v>
      </c>
    </row>
    <row r="220" spans="1:3" x14ac:dyDescent="0.15">
      <c r="A220">
        <v>2015</v>
      </c>
      <c r="B220">
        <v>0.28549999999999998</v>
      </c>
      <c r="C220" t="s">
        <v>32</v>
      </c>
    </row>
    <row r="221" spans="1:3" x14ac:dyDescent="0.15">
      <c r="A221">
        <v>2014</v>
      </c>
      <c r="B221">
        <v>0.2641</v>
      </c>
      <c r="C221" t="s">
        <v>32</v>
      </c>
    </row>
    <row r="222" spans="1:3" x14ac:dyDescent="0.15">
      <c r="A222">
        <v>2023</v>
      </c>
      <c r="B222">
        <v>3.6200000000000003E-2</v>
      </c>
      <c r="C222" t="s">
        <v>33</v>
      </c>
    </row>
    <row r="223" spans="1:3" x14ac:dyDescent="0.15">
      <c r="A223">
        <v>2022</v>
      </c>
      <c r="B223">
        <v>4.1300000000000003E-2</v>
      </c>
      <c r="C223" t="s">
        <v>33</v>
      </c>
    </row>
    <row r="224" spans="1:3" x14ac:dyDescent="0.15">
      <c r="A224">
        <v>2021</v>
      </c>
      <c r="B224">
        <v>3.9E-2</v>
      </c>
      <c r="C224" t="s">
        <v>33</v>
      </c>
    </row>
    <row r="225" spans="1:3" x14ac:dyDescent="0.15">
      <c r="A225">
        <v>2020</v>
      </c>
      <c r="B225">
        <v>2.9899999999999999E-2</v>
      </c>
      <c r="C225" t="s">
        <v>33</v>
      </c>
    </row>
    <row r="226" spans="1:3" x14ac:dyDescent="0.15">
      <c r="A226">
        <v>2019</v>
      </c>
      <c r="B226">
        <v>5.5899999999999998E-2</v>
      </c>
      <c r="C226" t="s">
        <v>33</v>
      </c>
    </row>
    <row r="227" spans="1:3" x14ac:dyDescent="0.15">
      <c r="A227">
        <v>2018</v>
      </c>
      <c r="B227">
        <v>5.4600000000000003E-2</v>
      </c>
      <c r="C227" t="s">
        <v>33</v>
      </c>
    </row>
    <row r="228" spans="1:3" x14ac:dyDescent="0.15">
      <c r="A228">
        <v>2017</v>
      </c>
      <c r="B228">
        <v>6.0699999999999997E-2</v>
      </c>
      <c r="C228" t="s">
        <v>33</v>
      </c>
    </row>
    <row r="229" spans="1:3" x14ac:dyDescent="0.15">
      <c r="A229">
        <v>2016</v>
      </c>
      <c r="B229">
        <v>7.5200000000000003E-2</v>
      </c>
      <c r="C229" t="s">
        <v>33</v>
      </c>
    </row>
    <row r="230" spans="1:3" x14ac:dyDescent="0.15">
      <c r="A230">
        <v>2015</v>
      </c>
      <c r="B230">
        <v>8.1600000000000006E-2</v>
      </c>
      <c r="C230" t="s">
        <v>33</v>
      </c>
    </row>
    <row r="231" spans="1:3" x14ac:dyDescent="0.15">
      <c r="A231">
        <v>2014</v>
      </c>
      <c r="B231">
        <v>6.5500000000000003E-2</v>
      </c>
      <c r="C231" t="s">
        <v>33</v>
      </c>
    </row>
    <row r="232" spans="1:3" x14ac:dyDescent="0.15">
      <c r="A232">
        <v>2023</v>
      </c>
      <c r="B232">
        <v>3.7199999999999997E-2</v>
      </c>
      <c r="C232" t="s">
        <v>34</v>
      </c>
    </row>
    <row r="233" spans="1:3" x14ac:dyDescent="0.15">
      <c r="A233">
        <v>2022</v>
      </c>
      <c r="B233">
        <v>4.6100000000000002E-2</v>
      </c>
      <c r="C233" t="s">
        <v>34</v>
      </c>
    </row>
    <row r="234" spans="1:3" x14ac:dyDescent="0.15">
      <c r="A234">
        <v>2021</v>
      </c>
      <c r="B234">
        <v>3.8300000000000001E-2</v>
      </c>
      <c r="C234" t="s">
        <v>34</v>
      </c>
    </row>
    <row r="235" spans="1:3" x14ac:dyDescent="0.15">
      <c r="A235">
        <v>2020</v>
      </c>
      <c r="B235">
        <v>3.8199999999999998E-2</v>
      </c>
      <c r="C235" t="s">
        <v>34</v>
      </c>
    </row>
    <row r="236" spans="1:3" x14ac:dyDescent="0.15">
      <c r="A236">
        <v>2019</v>
      </c>
      <c r="B236">
        <v>5.96E-2</v>
      </c>
      <c r="C236" t="s">
        <v>34</v>
      </c>
    </row>
    <row r="237" spans="1:3" x14ac:dyDescent="0.15">
      <c r="A237">
        <v>2018</v>
      </c>
      <c r="B237">
        <v>5.8799999999999998E-2</v>
      </c>
      <c r="C237" t="s">
        <v>34</v>
      </c>
    </row>
    <row r="238" spans="1:3" x14ac:dyDescent="0.15">
      <c r="A238">
        <v>2017</v>
      </c>
      <c r="B238">
        <v>6.5000000000000002E-2</v>
      </c>
      <c r="C238" t="s">
        <v>34</v>
      </c>
    </row>
    <row r="239" spans="1:3" x14ac:dyDescent="0.15">
      <c r="A239">
        <v>2016</v>
      </c>
      <c r="B239">
        <v>8.8099999999999998E-2</v>
      </c>
      <c r="C239" t="s">
        <v>34</v>
      </c>
    </row>
    <row r="240" spans="1:3" x14ac:dyDescent="0.15">
      <c r="A240">
        <v>2015</v>
      </c>
      <c r="B240">
        <v>0.1067</v>
      </c>
      <c r="C240" t="s">
        <v>34</v>
      </c>
    </row>
    <row r="241" spans="1:3" x14ac:dyDescent="0.15">
      <c r="A241">
        <v>2014</v>
      </c>
      <c r="B241">
        <v>8.2699999999999996E-2</v>
      </c>
      <c r="C241" t="s">
        <v>34</v>
      </c>
    </row>
    <row r="242" spans="1:3" x14ac:dyDescent="0.15">
      <c r="A242">
        <v>2023</v>
      </c>
      <c r="B242">
        <v>5.0000000000000001E-3</v>
      </c>
      <c r="C242" t="s">
        <v>35</v>
      </c>
    </row>
    <row r="243" spans="1:3" x14ac:dyDescent="0.15">
      <c r="A243">
        <v>2022</v>
      </c>
      <c r="B243">
        <v>6.0000000000000001E-3</v>
      </c>
      <c r="C243" t="s">
        <v>35</v>
      </c>
    </row>
    <row r="244" spans="1:3" x14ac:dyDescent="0.15">
      <c r="A244">
        <v>2021</v>
      </c>
      <c r="B244">
        <v>6.0000000000000001E-3</v>
      </c>
      <c r="C244" t="s">
        <v>35</v>
      </c>
    </row>
    <row r="245" spans="1:3" x14ac:dyDescent="0.15">
      <c r="A245">
        <v>2020</v>
      </c>
      <c r="B245">
        <v>7.0000000000000001E-3</v>
      </c>
      <c r="C245" t="s">
        <v>35</v>
      </c>
    </row>
    <row r="246" spans="1:3" x14ac:dyDescent="0.15">
      <c r="A246">
        <v>2019</v>
      </c>
      <c r="B246">
        <v>1.4E-2</v>
      </c>
      <c r="C246" t="s">
        <v>35</v>
      </c>
    </row>
    <row r="247" spans="1:3" x14ac:dyDescent="0.15">
      <c r="A247">
        <v>2018</v>
      </c>
      <c r="B247">
        <v>1.2E-2</v>
      </c>
      <c r="C247" t="s">
        <v>35</v>
      </c>
    </row>
    <row r="248" spans="1:3" x14ac:dyDescent="0.15">
      <c r="A248">
        <v>2017</v>
      </c>
      <c r="B248">
        <v>1.6E-2</v>
      </c>
      <c r="C248" t="s">
        <v>35</v>
      </c>
    </row>
    <row r="249" spans="1:3" x14ac:dyDescent="0.15">
      <c r="A249">
        <v>2016</v>
      </c>
      <c r="B249">
        <v>1.9E-2</v>
      </c>
      <c r="C249" t="s">
        <v>35</v>
      </c>
    </row>
    <row r="250" spans="1:3" x14ac:dyDescent="0.15">
      <c r="A250">
        <v>2015</v>
      </c>
      <c r="B250">
        <v>1.7000000000000001E-2</v>
      </c>
      <c r="C250" t="s">
        <v>35</v>
      </c>
    </row>
    <row r="251" spans="1:3" x14ac:dyDescent="0.15">
      <c r="A251">
        <v>2014</v>
      </c>
      <c r="B251">
        <v>1.7999999999999999E-2</v>
      </c>
      <c r="C251" t="s">
        <v>35</v>
      </c>
    </row>
    <row r="252" spans="1:3" x14ac:dyDescent="0.15">
      <c r="A252">
        <v>2023</v>
      </c>
      <c r="B252">
        <v>0.153</v>
      </c>
      <c r="C252" t="s">
        <v>36</v>
      </c>
    </row>
    <row r="253" spans="1:3" x14ac:dyDescent="0.15">
      <c r="A253">
        <v>2022</v>
      </c>
      <c r="B253">
        <v>0.14599999999999999</v>
      </c>
      <c r="C253" t="s">
        <v>36</v>
      </c>
    </row>
    <row r="254" spans="1:3" x14ac:dyDescent="0.15">
      <c r="A254">
        <v>2021</v>
      </c>
      <c r="B254">
        <v>0.15</v>
      </c>
      <c r="C254" t="s">
        <v>36</v>
      </c>
    </row>
    <row r="255" spans="1:3" x14ac:dyDescent="0.15">
      <c r="A255">
        <v>2020</v>
      </c>
      <c r="B255">
        <v>0.24</v>
      </c>
      <c r="C255" t="s">
        <v>36</v>
      </c>
    </row>
    <row r="256" spans="1:3" x14ac:dyDescent="0.15">
      <c r="A256">
        <v>2019</v>
      </c>
      <c r="B256">
        <v>0.251</v>
      </c>
      <c r="C256" t="s">
        <v>36</v>
      </c>
    </row>
    <row r="257" spans="1:3" x14ac:dyDescent="0.15">
      <c r="A257">
        <v>2018</v>
      </c>
      <c r="B257">
        <v>0.22700000000000001</v>
      </c>
      <c r="C257" t="s">
        <v>36</v>
      </c>
    </row>
    <row r="258" spans="1:3" x14ac:dyDescent="0.15">
      <c r="A258">
        <v>2017</v>
      </c>
      <c r="B258">
        <v>0.25900000000000001</v>
      </c>
      <c r="C258" t="s">
        <v>36</v>
      </c>
    </row>
    <row r="259" spans="1:3" x14ac:dyDescent="0.15">
      <c r="A259">
        <v>2016</v>
      </c>
      <c r="B259">
        <v>0.26100000000000001</v>
      </c>
      <c r="C259" t="s">
        <v>36</v>
      </c>
    </row>
    <row r="260" spans="1:3" x14ac:dyDescent="0.15">
      <c r="A260">
        <v>2015</v>
      </c>
      <c r="B260">
        <v>0.21299999999999999</v>
      </c>
      <c r="C260" t="s">
        <v>36</v>
      </c>
    </row>
    <row r="261" spans="1:3" x14ac:dyDescent="0.15">
      <c r="A261">
        <v>2014</v>
      </c>
      <c r="B261">
        <v>0.27900000000000003</v>
      </c>
      <c r="C261" t="s">
        <v>36</v>
      </c>
    </row>
    <row r="262" spans="1:3" x14ac:dyDescent="0.15">
      <c r="A262">
        <v>2023</v>
      </c>
      <c r="B262">
        <v>3.1399999999999997E-2</v>
      </c>
      <c r="C262" t="s">
        <v>37</v>
      </c>
    </row>
    <row r="263" spans="1:3" x14ac:dyDescent="0.15">
      <c r="A263">
        <v>2022</v>
      </c>
      <c r="B263">
        <v>3.2000000000000001E-2</v>
      </c>
      <c r="C263" t="s">
        <v>37</v>
      </c>
    </row>
    <row r="264" spans="1:3" x14ac:dyDescent="0.15">
      <c r="A264">
        <v>2021</v>
      </c>
      <c r="B264">
        <v>3.78E-2</v>
      </c>
      <c r="C264" t="s">
        <v>37</v>
      </c>
    </row>
    <row r="265" spans="1:3" x14ac:dyDescent="0.15">
      <c r="A265">
        <v>2020</v>
      </c>
      <c r="B265">
        <v>5.74E-2</v>
      </c>
      <c r="C265" t="s">
        <v>37</v>
      </c>
    </row>
    <row r="266" spans="1:3" x14ac:dyDescent="0.15">
      <c r="A266">
        <v>2019</v>
      </c>
      <c r="B266">
        <v>7.0199999999999999E-2</v>
      </c>
      <c r="C266" t="s">
        <v>37</v>
      </c>
    </row>
    <row r="267" spans="1:3" x14ac:dyDescent="0.15">
      <c r="A267">
        <v>2018</v>
      </c>
      <c r="B267">
        <v>4.7899999999999998E-2</v>
      </c>
      <c r="C267" t="s">
        <v>37</v>
      </c>
    </row>
    <row r="268" spans="1:3" x14ac:dyDescent="0.15">
      <c r="A268">
        <v>2017</v>
      </c>
      <c r="B268">
        <v>4.5199999999999997E-2</v>
      </c>
      <c r="C268" t="s">
        <v>37</v>
      </c>
    </row>
    <row r="269" spans="1:3" x14ac:dyDescent="0.15">
      <c r="A269">
        <v>2016</v>
      </c>
      <c r="B269">
        <v>5.0500000000000003E-2</v>
      </c>
      <c r="C269" t="s">
        <v>37</v>
      </c>
    </row>
    <row r="270" spans="1:3" x14ac:dyDescent="0.15">
      <c r="A270">
        <v>2015</v>
      </c>
      <c r="B270">
        <v>5.3800000000000001E-2</v>
      </c>
      <c r="C270" t="s">
        <v>37</v>
      </c>
    </row>
    <row r="271" spans="1:3" x14ac:dyDescent="0.15">
      <c r="A271">
        <v>2014</v>
      </c>
      <c r="B271">
        <v>6.1199999999999997E-2</v>
      </c>
      <c r="C271" t="s">
        <v>37</v>
      </c>
    </row>
    <row r="272" spans="1:3" x14ac:dyDescent="0.15">
      <c r="A272">
        <v>2023</v>
      </c>
      <c r="B272">
        <v>3.6400000000000002E-2</v>
      </c>
      <c r="C272" t="s">
        <v>38</v>
      </c>
    </row>
    <row r="273" spans="1:3" x14ac:dyDescent="0.15">
      <c r="A273">
        <v>2022</v>
      </c>
      <c r="B273">
        <v>3.7999999999999999E-2</v>
      </c>
      <c r="C273" t="s">
        <v>38</v>
      </c>
    </row>
    <row r="274" spans="1:3" x14ac:dyDescent="0.15">
      <c r="A274">
        <v>2021</v>
      </c>
      <c r="B274">
        <v>4.3799999999999999E-2</v>
      </c>
      <c r="C274" t="s">
        <v>38</v>
      </c>
    </row>
    <row r="275" spans="1:3" x14ac:dyDescent="0.15">
      <c r="A275">
        <v>2020</v>
      </c>
      <c r="B275">
        <v>6.4399999999999999E-2</v>
      </c>
      <c r="C275" t="s">
        <v>38</v>
      </c>
    </row>
    <row r="276" spans="1:3" x14ac:dyDescent="0.15">
      <c r="A276">
        <v>2019</v>
      </c>
      <c r="B276">
        <v>8.4199999999999997E-2</v>
      </c>
      <c r="C276" t="s">
        <v>38</v>
      </c>
    </row>
    <row r="277" spans="1:3" x14ac:dyDescent="0.15">
      <c r="A277">
        <v>2018</v>
      </c>
      <c r="B277">
        <v>5.9900000000000002E-2</v>
      </c>
      <c r="C277" t="s">
        <v>38</v>
      </c>
    </row>
    <row r="278" spans="1:3" x14ac:dyDescent="0.15">
      <c r="A278">
        <v>2017</v>
      </c>
      <c r="B278">
        <v>6.1199999999999997E-2</v>
      </c>
      <c r="C278" t="s">
        <v>38</v>
      </c>
    </row>
    <row r="279" spans="1:3" x14ac:dyDescent="0.15">
      <c r="A279">
        <v>2016</v>
      </c>
      <c r="B279">
        <v>6.9500000000000006E-2</v>
      </c>
      <c r="C279" t="s">
        <v>38</v>
      </c>
    </row>
    <row r="280" spans="1:3" x14ac:dyDescent="0.15">
      <c r="A280">
        <v>2015</v>
      </c>
      <c r="B280">
        <v>7.0800000000000002E-2</v>
      </c>
      <c r="C280" t="s">
        <v>38</v>
      </c>
    </row>
    <row r="281" spans="1:3" x14ac:dyDescent="0.15">
      <c r="A281">
        <v>2014</v>
      </c>
      <c r="B281">
        <v>7.9200000000000007E-2</v>
      </c>
      <c r="C281" t="s">
        <v>38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70B7-1E18-4D77-B4BB-51099006117A}">
  <dimension ref="A1:L90"/>
  <sheetViews>
    <sheetView topLeftCell="A18" zoomScale="130" zoomScaleNormal="130" workbookViewId="0">
      <selection activeCell="F60" sqref="F60"/>
    </sheetView>
  </sheetViews>
  <sheetFormatPr defaultRowHeight="14.25" x14ac:dyDescent="0.15"/>
  <cols>
    <col min="1" max="1" width="12.75" customWidth="1"/>
    <col min="2" max="2" width="12.25" customWidth="1"/>
    <col min="3" max="3" width="12.375" bestFit="1" customWidth="1"/>
    <col min="4" max="5" width="12.375" customWidth="1"/>
    <col min="6" max="6" width="29.375" bestFit="1" customWidth="1"/>
    <col min="7" max="7" width="17.25" customWidth="1"/>
    <col min="8" max="8" width="12.5" bestFit="1" customWidth="1"/>
    <col min="10" max="10" width="38.25" bestFit="1" customWidth="1"/>
    <col min="11" max="11" width="16.125" bestFit="1" customWidth="1"/>
    <col min="12" max="12" width="20.5" bestFit="1" customWidth="1"/>
  </cols>
  <sheetData>
    <row r="1" spans="1:9" x14ac:dyDescent="0.15">
      <c r="A1" s="43" t="s">
        <v>46</v>
      </c>
      <c r="B1" s="44"/>
      <c r="C1" s="45"/>
      <c r="D1" s="13"/>
      <c r="E1" s="6" t="s">
        <v>1</v>
      </c>
      <c r="F1" s="14" t="s">
        <v>47</v>
      </c>
      <c r="G1" s="44" t="s">
        <v>45</v>
      </c>
      <c r="H1" s="44"/>
      <c r="I1" s="45"/>
    </row>
    <row r="2" spans="1:9" ht="15.75" x14ac:dyDescent="0.25">
      <c r="A2" s="7" t="s">
        <v>43</v>
      </c>
      <c r="B2" s="8">
        <v>0.05</v>
      </c>
      <c r="C2" s="9">
        <f>ABS(_xlfn.NORM.S.INV(B2))</f>
        <v>1.6448536269514726</v>
      </c>
      <c r="E2" s="7">
        <v>21</v>
      </c>
      <c r="F2" s="8">
        <f>E2-1</f>
        <v>20</v>
      </c>
      <c r="G2" s="8" t="s">
        <v>43</v>
      </c>
      <c r="H2" s="8">
        <v>0.05</v>
      </c>
      <c r="I2" s="9">
        <f>ABS(_xlfn.T.INV(H2,F2))</f>
        <v>1.7247182429207868</v>
      </c>
    </row>
    <row r="3" spans="1:9" ht="15" thickBot="1" x14ac:dyDescent="0.2">
      <c r="A3" s="10" t="s">
        <v>44</v>
      </c>
      <c r="B3" s="11">
        <v>0.01</v>
      </c>
      <c r="C3" s="9">
        <f>ABS(_xlfn.NORM.S.INV(B3/2))</f>
        <v>2.5758293035488999</v>
      </c>
      <c r="E3" s="10">
        <v>21</v>
      </c>
      <c r="F3" s="11">
        <f>E3-1</f>
        <v>20</v>
      </c>
      <c r="G3" s="11" t="s">
        <v>44</v>
      </c>
      <c r="H3" s="11">
        <v>2.5000000000000001E-2</v>
      </c>
      <c r="I3" s="12">
        <f>ABS(_xlfn.T.INV.2T(H3,F3))</f>
        <v>2.4231165398734076</v>
      </c>
    </row>
    <row r="6" spans="1:9" x14ac:dyDescent="0.15">
      <c r="B6">
        <f>_xlfn.NORM.S.DIST(-4.8654,TRUE)</f>
        <v>5.7112777049191562E-7</v>
      </c>
      <c r="C6">
        <f>2*B6</f>
        <v>1.1422555409838312E-6</v>
      </c>
    </row>
    <row r="19" spans="1:12" s="1" customFormat="1" ht="27" x14ac:dyDescent="0.15">
      <c r="A19" s="15" t="s">
        <v>48</v>
      </c>
      <c r="B19" s="15" t="s">
        <v>50</v>
      </c>
      <c r="C19" s="15" t="s">
        <v>51</v>
      </c>
      <c r="D19" s="15" t="s">
        <v>49</v>
      </c>
    </row>
    <row r="20" spans="1:12" x14ac:dyDescent="0.15">
      <c r="A20">
        <v>1</v>
      </c>
      <c r="B20">
        <v>2.76</v>
      </c>
      <c r="C20">
        <v>7.02</v>
      </c>
      <c r="D20" cm="1">
        <f t="array" ref="D20:D34">C20:C34-B20:B34</f>
        <v>4.26</v>
      </c>
      <c r="F20" t="s">
        <v>52</v>
      </c>
      <c r="G20">
        <f>AVERAGE(_xlfn.ANCHORARRAY(D20))</f>
        <v>9.8480000000000008</v>
      </c>
    </row>
    <row r="21" spans="1:12" x14ac:dyDescent="0.15">
      <c r="A21">
        <v>2</v>
      </c>
      <c r="B21">
        <v>5.18</v>
      </c>
      <c r="C21">
        <v>3.1</v>
      </c>
      <c r="D21">
        <v>-2.0799999999999996</v>
      </c>
      <c r="F21" t="s">
        <v>53</v>
      </c>
      <c r="G21">
        <f>_xlfn.STDEV.S(_xlfn.ANCHORARRAY(D20))</f>
        <v>18.473626838588803</v>
      </c>
    </row>
    <row r="22" spans="1:12" x14ac:dyDescent="0.15">
      <c r="A22">
        <v>3</v>
      </c>
      <c r="B22">
        <v>2.68</v>
      </c>
      <c r="C22">
        <v>5.44</v>
      </c>
      <c r="D22">
        <v>2.7600000000000002</v>
      </c>
    </row>
    <row r="23" spans="1:12" x14ac:dyDescent="0.15">
      <c r="A23">
        <v>4</v>
      </c>
      <c r="B23">
        <v>3.05</v>
      </c>
      <c r="C23">
        <v>3.99</v>
      </c>
      <c r="D23">
        <v>0.94000000000000039</v>
      </c>
      <c r="F23" t="s">
        <v>54</v>
      </c>
      <c r="J23" t="s">
        <v>68</v>
      </c>
    </row>
    <row r="24" spans="1:12" ht="15" thickBot="1" x14ac:dyDescent="0.2">
      <c r="A24">
        <v>5</v>
      </c>
      <c r="B24">
        <v>4.0999999999999996</v>
      </c>
      <c r="C24">
        <v>5.21</v>
      </c>
      <c r="D24">
        <v>1.1100000000000003</v>
      </c>
    </row>
    <row r="25" spans="1:12" x14ac:dyDescent="0.15">
      <c r="A25">
        <v>6</v>
      </c>
      <c r="B25">
        <v>7.05</v>
      </c>
      <c r="C25">
        <v>10.26</v>
      </c>
      <c r="D25">
        <v>3.21</v>
      </c>
      <c r="F25" s="17"/>
      <c r="G25" s="17" t="s">
        <v>55</v>
      </c>
      <c r="H25" s="17" t="s">
        <v>56</v>
      </c>
      <c r="J25" s="17"/>
      <c r="K25" s="17" t="s">
        <v>50</v>
      </c>
      <c r="L25" s="17" t="s">
        <v>51</v>
      </c>
    </row>
    <row r="26" spans="1:12" x14ac:dyDescent="0.15">
      <c r="A26">
        <v>7</v>
      </c>
      <c r="B26">
        <v>6.6</v>
      </c>
      <c r="C26">
        <v>13.91</v>
      </c>
      <c r="D26">
        <v>7.3100000000000005</v>
      </c>
      <c r="F26" t="s">
        <v>57</v>
      </c>
      <c r="G26">
        <v>11.806666666666667</v>
      </c>
      <c r="H26">
        <v>21.654666666666667</v>
      </c>
      <c r="J26" t="s">
        <v>57</v>
      </c>
      <c r="K26">
        <v>11.806666666666667</v>
      </c>
      <c r="L26">
        <v>21.654666666666667</v>
      </c>
    </row>
    <row r="27" spans="1:12" x14ac:dyDescent="0.15">
      <c r="A27">
        <v>8</v>
      </c>
      <c r="B27">
        <v>4.79</v>
      </c>
      <c r="C27">
        <v>18.53</v>
      </c>
      <c r="D27">
        <v>13.740000000000002</v>
      </c>
      <c r="F27" t="s">
        <v>58</v>
      </c>
      <c r="G27">
        <v>276.77023809523814</v>
      </c>
      <c r="H27">
        <v>956.08971238095216</v>
      </c>
      <c r="J27" t="s">
        <v>58</v>
      </c>
      <c r="K27">
        <v>276.77023809523814</v>
      </c>
      <c r="L27">
        <v>956.08971238095216</v>
      </c>
    </row>
    <row r="28" spans="1:12" x14ac:dyDescent="0.15">
      <c r="A28">
        <v>9</v>
      </c>
      <c r="B28">
        <v>7.39</v>
      </c>
      <c r="C28">
        <v>7.91</v>
      </c>
      <c r="D28">
        <v>0.52000000000000046</v>
      </c>
      <c r="F28" t="s">
        <v>59</v>
      </c>
      <c r="G28">
        <v>15</v>
      </c>
      <c r="H28">
        <v>15</v>
      </c>
      <c r="J28" t="s">
        <v>59</v>
      </c>
      <c r="K28">
        <v>15</v>
      </c>
      <c r="L28">
        <v>15</v>
      </c>
    </row>
    <row r="29" spans="1:12" x14ac:dyDescent="0.15">
      <c r="A29">
        <v>10</v>
      </c>
      <c r="B29">
        <v>7.3</v>
      </c>
      <c r="C29">
        <v>4.8499999999999996</v>
      </c>
      <c r="D29">
        <v>-2.4500000000000002</v>
      </c>
      <c r="F29" t="s">
        <v>60</v>
      </c>
      <c r="G29">
        <v>0.86661015045012446</v>
      </c>
      <c r="J29" t="s">
        <v>61</v>
      </c>
      <c r="K29">
        <v>0</v>
      </c>
    </row>
    <row r="30" spans="1:12" x14ac:dyDescent="0.15">
      <c r="A30">
        <v>11</v>
      </c>
      <c r="B30">
        <v>11.78</v>
      </c>
      <c r="C30">
        <v>11.1</v>
      </c>
      <c r="D30">
        <v>-0.67999999999999972</v>
      </c>
      <c r="F30" t="s">
        <v>61</v>
      </c>
      <c r="G30">
        <v>0</v>
      </c>
      <c r="J30" t="s">
        <v>62</v>
      </c>
      <c r="K30">
        <v>21</v>
      </c>
    </row>
    <row r="31" spans="1:12" x14ac:dyDescent="0.15">
      <c r="A31">
        <v>12</v>
      </c>
      <c r="B31">
        <v>3.9</v>
      </c>
      <c r="C31">
        <v>3.74</v>
      </c>
      <c r="D31">
        <v>-0.1599999999999997</v>
      </c>
      <c r="F31" t="s">
        <v>62</v>
      </c>
      <c r="G31">
        <v>14</v>
      </c>
      <c r="J31" t="s">
        <v>63</v>
      </c>
      <c r="K31">
        <v>-1.0862675275047258</v>
      </c>
    </row>
    <row r="32" spans="1:12" x14ac:dyDescent="0.15">
      <c r="A32">
        <v>13</v>
      </c>
      <c r="B32">
        <v>26</v>
      </c>
      <c r="C32">
        <v>94.03</v>
      </c>
      <c r="D32">
        <v>68.03</v>
      </c>
      <c r="F32" t="s">
        <v>63</v>
      </c>
      <c r="G32">
        <v>-2.0646265255168617</v>
      </c>
      <c r="J32" t="s">
        <v>64</v>
      </c>
      <c r="K32">
        <v>0.14483641820178064</v>
      </c>
    </row>
    <row r="33" spans="1:12" x14ac:dyDescent="0.15">
      <c r="A33">
        <v>14</v>
      </c>
      <c r="B33">
        <v>67.48</v>
      </c>
      <c r="C33">
        <v>94.03</v>
      </c>
      <c r="D33">
        <v>26.549999999999997</v>
      </c>
      <c r="F33" t="s">
        <v>64</v>
      </c>
      <c r="G33">
        <v>2.8999164696775572E-2</v>
      </c>
      <c r="J33" t="s">
        <v>65</v>
      </c>
      <c r="K33">
        <v>1.7207429028118781</v>
      </c>
    </row>
    <row r="34" spans="1:12" x14ac:dyDescent="0.15">
      <c r="A34">
        <v>15</v>
      </c>
      <c r="B34">
        <v>17.04</v>
      </c>
      <c r="C34">
        <v>41.7</v>
      </c>
      <c r="D34">
        <v>24.660000000000004</v>
      </c>
      <c r="F34" t="s">
        <v>65</v>
      </c>
      <c r="G34">
        <v>1.7613101357748921</v>
      </c>
      <c r="J34" t="s">
        <v>66</v>
      </c>
      <c r="K34">
        <v>0.28967283640356128</v>
      </c>
    </row>
    <row r="35" spans="1:12" ht="15" thickBot="1" x14ac:dyDescent="0.2">
      <c r="F35" t="s">
        <v>66</v>
      </c>
      <c r="G35">
        <v>5.7998329393551144E-2</v>
      </c>
      <c r="J35" s="16" t="s">
        <v>67</v>
      </c>
      <c r="K35" s="16">
        <v>2.07961384472768</v>
      </c>
      <c r="L35" s="16"/>
    </row>
    <row r="36" spans="1:12" ht="15" thickBot="1" x14ac:dyDescent="0.2">
      <c r="F36" s="16" t="s">
        <v>67</v>
      </c>
      <c r="G36" s="16">
        <v>2.1447866879178044</v>
      </c>
      <c r="H36" s="16"/>
    </row>
    <row r="39" spans="1:12" ht="18.75" x14ac:dyDescent="0.3">
      <c r="A39" s="18" t="s">
        <v>69</v>
      </c>
      <c r="B39" s="18" t="s">
        <v>70</v>
      </c>
      <c r="C39" s="18" t="s">
        <v>71</v>
      </c>
      <c r="D39" s="18" t="s">
        <v>72</v>
      </c>
      <c r="F39" t="s">
        <v>54</v>
      </c>
    </row>
    <row r="40" spans="1:12" ht="15" thickBot="1" x14ac:dyDescent="0.2">
      <c r="A40">
        <v>1</v>
      </c>
      <c r="B40">
        <v>158</v>
      </c>
      <c r="C40">
        <v>91</v>
      </c>
      <c r="D40" cm="1">
        <f t="array" ref="D40:D54">C40:C54-B40:B54</f>
        <v>-67</v>
      </c>
    </row>
    <row r="41" spans="1:12" x14ac:dyDescent="0.15">
      <c r="A41">
        <v>2</v>
      </c>
      <c r="B41">
        <v>92</v>
      </c>
      <c r="C41">
        <v>59</v>
      </c>
      <c r="D41">
        <v>-33</v>
      </c>
      <c r="F41" s="17"/>
      <c r="G41" s="17" t="s">
        <v>70</v>
      </c>
      <c r="H41" s="17" t="s">
        <v>71</v>
      </c>
    </row>
    <row r="42" spans="1:12" x14ac:dyDescent="0.15">
      <c r="A42">
        <v>3</v>
      </c>
      <c r="B42">
        <v>65</v>
      </c>
      <c r="C42">
        <v>215</v>
      </c>
      <c r="D42">
        <v>150</v>
      </c>
      <c r="F42" t="s">
        <v>57</v>
      </c>
      <c r="G42">
        <v>92.733333333333334</v>
      </c>
      <c r="H42">
        <v>146.86666666666667</v>
      </c>
    </row>
    <row r="43" spans="1:12" x14ac:dyDescent="0.15">
      <c r="A43">
        <v>4</v>
      </c>
      <c r="B43">
        <v>98</v>
      </c>
      <c r="C43">
        <v>226</v>
      </c>
      <c r="D43">
        <v>128</v>
      </c>
      <c r="F43" t="s">
        <v>58</v>
      </c>
      <c r="G43">
        <v>1327.3523809523811</v>
      </c>
      <c r="H43">
        <v>3103.2666666666669</v>
      </c>
    </row>
    <row r="44" spans="1:12" x14ac:dyDescent="0.15">
      <c r="A44">
        <v>5</v>
      </c>
      <c r="B44">
        <v>33</v>
      </c>
      <c r="C44">
        <v>223</v>
      </c>
      <c r="D44">
        <v>190</v>
      </c>
      <c r="F44" t="s">
        <v>59</v>
      </c>
      <c r="G44">
        <v>15</v>
      </c>
      <c r="H44">
        <v>15</v>
      </c>
    </row>
    <row r="45" spans="1:12" x14ac:dyDescent="0.15">
      <c r="A45">
        <v>6</v>
      </c>
      <c r="B45">
        <v>89</v>
      </c>
      <c r="C45">
        <v>91</v>
      </c>
      <c r="D45">
        <v>2</v>
      </c>
      <c r="F45" t="s">
        <v>60</v>
      </c>
      <c r="G45">
        <v>-0.60574363831048106</v>
      </c>
    </row>
    <row r="46" spans="1:12" x14ac:dyDescent="0.15">
      <c r="A46">
        <v>7</v>
      </c>
      <c r="B46">
        <v>148</v>
      </c>
      <c r="C46">
        <v>92</v>
      </c>
      <c r="D46">
        <v>-56</v>
      </c>
      <c r="F46" t="s">
        <v>61</v>
      </c>
      <c r="G46">
        <v>0</v>
      </c>
    </row>
    <row r="47" spans="1:12" x14ac:dyDescent="0.15">
      <c r="A47">
        <v>8</v>
      </c>
      <c r="B47">
        <v>58</v>
      </c>
      <c r="C47">
        <v>177</v>
      </c>
      <c r="D47">
        <v>119</v>
      </c>
      <c r="F47" t="s">
        <v>62</v>
      </c>
      <c r="G47">
        <v>14</v>
      </c>
    </row>
    <row r="48" spans="1:12" x14ac:dyDescent="0.15">
      <c r="A48">
        <v>9</v>
      </c>
      <c r="B48">
        <v>142</v>
      </c>
      <c r="C48">
        <v>134</v>
      </c>
      <c r="D48">
        <v>-8</v>
      </c>
      <c r="F48" t="s">
        <v>63</v>
      </c>
      <c r="G48">
        <v>-2.525918880697446</v>
      </c>
    </row>
    <row r="49" spans="1:8" x14ac:dyDescent="0.15">
      <c r="A49">
        <v>10</v>
      </c>
      <c r="B49">
        <v>117</v>
      </c>
      <c r="C49">
        <v>116</v>
      </c>
      <c r="D49">
        <v>-1</v>
      </c>
      <c r="F49" t="s">
        <v>64</v>
      </c>
      <c r="G49">
        <v>1.2110808855967672E-2</v>
      </c>
    </row>
    <row r="50" spans="1:8" x14ac:dyDescent="0.15">
      <c r="A50">
        <v>11</v>
      </c>
      <c r="B50">
        <v>74</v>
      </c>
      <c r="C50">
        <v>153</v>
      </c>
      <c r="D50">
        <v>79</v>
      </c>
      <c r="F50" t="s">
        <v>65</v>
      </c>
      <c r="G50">
        <v>1.7613101357748921</v>
      </c>
    </row>
    <row r="51" spans="1:8" x14ac:dyDescent="0.15">
      <c r="A51">
        <v>12</v>
      </c>
      <c r="B51">
        <v>66</v>
      </c>
      <c r="C51">
        <v>219</v>
      </c>
      <c r="D51">
        <v>153</v>
      </c>
      <c r="F51" t="s">
        <v>66</v>
      </c>
      <c r="G51">
        <v>2.4221617711935345E-2</v>
      </c>
    </row>
    <row r="52" spans="1:8" ht="15" thickBot="1" x14ac:dyDescent="0.2">
      <c r="A52">
        <v>13</v>
      </c>
      <c r="B52">
        <v>109</v>
      </c>
      <c r="C52">
        <v>143</v>
      </c>
      <c r="D52">
        <v>34</v>
      </c>
      <c r="F52" s="16" t="s">
        <v>67</v>
      </c>
      <c r="G52" s="16">
        <v>2.1447866879178044</v>
      </c>
      <c r="H52" s="16"/>
    </row>
    <row r="53" spans="1:8" x14ac:dyDescent="0.15">
      <c r="A53">
        <v>14</v>
      </c>
      <c r="B53">
        <v>57</v>
      </c>
      <c r="C53">
        <v>164</v>
      </c>
      <c r="D53">
        <v>107</v>
      </c>
    </row>
    <row r="54" spans="1:8" x14ac:dyDescent="0.15">
      <c r="A54">
        <v>15</v>
      </c>
      <c r="B54">
        <v>85</v>
      </c>
      <c r="C54">
        <v>100</v>
      </c>
      <c r="D54">
        <v>15</v>
      </c>
    </row>
    <row r="56" spans="1:8" x14ac:dyDescent="0.15">
      <c r="C56" s="19" t="s">
        <v>73</v>
      </c>
      <c r="D56" s="19">
        <f>AVERAGE(_xlfn.ANCHORARRAY(D40))</f>
        <v>54.133333333333333</v>
      </c>
      <c r="F56">
        <f>_xlfn.NORM.S.INV(0.001)</f>
        <v>-3.0902323061678132</v>
      </c>
    </row>
    <row r="57" spans="1:8" x14ac:dyDescent="0.15">
      <c r="C57" s="19" t="s">
        <v>74</v>
      </c>
      <c r="D57" s="19">
        <f>_xlfn.STDEV.S(_xlfn.ANCHORARRAY(D40))</f>
        <v>83.002466974238331</v>
      </c>
      <c r="F57">
        <f>_xlfn.NORM.S.DIST(3,TRUE)</f>
        <v>0.9986501019683699</v>
      </c>
    </row>
    <row r="58" spans="1:8" x14ac:dyDescent="0.15">
      <c r="C58" s="19" t="s">
        <v>75</v>
      </c>
      <c r="D58" s="19">
        <f>(D56-0)/(D57/SQRT(COUNT(A40:A54)))</f>
        <v>2.525918880697446</v>
      </c>
      <c r="F58">
        <f>1-F57</f>
        <v>1.3498980316301035E-3</v>
      </c>
    </row>
    <row r="59" spans="1:8" x14ac:dyDescent="0.15">
      <c r="C59" s="19" t="s">
        <v>76</v>
      </c>
      <c r="D59" s="19">
        <f>_xlfn.T.DIST.2T(D58,COUNT(A40:A54)-1)</f>
        <v>2.4221617711935345E-2</v>
      </c>
      <c r="F59">
        <f>2*F58</f>
        <v>2.6997960632602069E-3</v>
      </c>
    </row>
    <row r="65" spans="1:8" x14ac:dyDescent="0.15">
      <c r="F65" t="s">
        <v>54</v>
      </c>
    </row>
    <row r="66" spans="1:8" ht="15" thickBot="1" x14ac:dyDescent="0.2"/>
    <row r="67" spans="1:8" ht="18.75" x14ac:dyDescent="0.3">
      <c r="A67" s="20" t="s">
        <v>77</v>
      </c>
      <c r="B67" s="20" t="s">
        <v>78</v>
      </c>
      <c r="C67" s="20" t="s">
        <v>79</v>
      </c>
      <c r="D67" s="20" t="s">
        <v>72</v>
      </c>
      <c r="F67" s="17"/>
      <c r="G67" s="17" t="s">
        <v>78</v>
      </c>
      <c r="H67" s="17" t="s">
        <v>79</v>
      </c>
    </row>
    <row r="68" spans="1:8" x14ac:dyDescent="0.15">
      <c r="A68">
        <v>1</v>
      </c>
      <c r="B68">
        <v>4.2</v>
      </c>
      <c r="C68">
        <v>4.0999999999999996</v>
      </c>
      <c r="D68" cm="1">
        <f t="array" ref="D68:D79">C68:C79-B68:B79</f>
        <v>-0.10000000000000053</v>
      </c>
      <c r="F68" t="s">
        <v>57</v>
      </c>
      <c r="G68">
        <v>5.75</v>
      </c>
      <c r="H68">
        <v>5.6083333333333343</v>
      </c>
    </row>
    <row r="69" spans="1:8" x14ac:dyDescent="0.15">
      <c r="A69">
        <v>2</v>
      </c>
      <c r="B69">
        <v>4.7</v>
      </c>
      <c r="C69">
        <v>4.9000000000000004</v>
      </c>
      <c r="D69">
        <v>0.20000000000000018</v>
      </c>
      <c r="F69" t="s">
        <v>58</v>
      </c>
      <c r="G69">
        <v>1.1081818181818179</v>
      </c>
      <c r="H69">
        <v>0.98810606060605077</v>
      </c>
    </row>
    <row r="70" spans="1:8" x14ac:dyDescent="0.15">
      <c r="A70">
        <v>3</v>
      </c>
      <c r="B70">
        <v>6.6</v>
      </c>
      <c r="C70">
        <v>6.2</v>
      </c>
      <c r="D70">
        <v>-0.39999999999999947</v>
      </c>
      <c r="F70" t="s">
        <v>59</v>
      </c>
      <c r="G70">
        <v>12</v>
      </c>
      <c r="H70">
        <v>12</v>
      </c>
    </row>
    <row r="71" spans="1:8" x14ac:dyDescent="0.15">
      <c r="A71">
        <v>4</v>
      </c>
      <c r="B71">
        <v>7</v>
      </c>
      <c r="C71">
        <v>6.9</v>
      </c>
      <c r="D71">
        <v>-9.9999999999999645E-2</v>
      </c>
      <c r="F71" t="s">
        <v>60</v>
      </c>
      <c r="G71">
        <v>0.98300240724882759</v>
      </c>
    </row>
    <row r="72" spans="1:8" x14ac:dyDescent="0.15">
      <c r="A72">
        <v>5</v>
      </c>
      <c r="B72">
        <v>6.7</v>
      </c>
      <c r="C72">
        <v>6.8</v>
      </c>
      <c r="D72">
        <v>9.9999999999999645E-2</v>
      </c>
      <c r="F72" t="s">
        <v>61</v>
      </c>
      <c r="G72">
        <v>0</v>
      </c>
    </row>
    <row r="73" spans="1:8" x14ac:dyDescent="0.15">
      <c r="A73">
        <v>6</v>
      </c>
      <c r="B73">
        <v>4.5</v>
      </c>
      <c r="C73">
        <v>4.4000000000000004</v>
      </c>
      <c r="D73">
        <v>-9.9999999999999645E-2</v>
      </c>
      <c r="F73" t="s">
        <v>62</v>
      </c>
      <c r="G73">
        <v>11</v>
      </c>
    </row>
    <row r="74" spans="1:8" x14ac:dyDescent="0.15">
      <c r="A74">
        <v>7</v>
      </c>
      <c r="B74">
        <v>5.7</v>
      </c>
      <c r="C74">
        <v>5.7</v>
      </c>
      <c r="D74">
        <v>0</v>
      </c>
      <c r="F74" t="s">
        <v>63</v>
      </c>
      <c r="G74">
        <v>2.4845151506844516</v>
      </c>
    </row>
    <row r="75" spans="1:8" x14ac:dyDescent="0.15">
      <c r="A75">
        <v>8</v>
      </c>
      <c r="B75">
        <v>6</v>
      </c>
      <c r="C75">
        <v>5.8</v>
      </c>
      <c r="D75">
        <v>-0.20000000000000018</v>
      </c>
      <c r="F75" t="s">
        <v>64</v>
      </c>
      <c r="G75">
        <v>1.5164752831992144E-2</v>
      </c>
    </row>
    <row r="76" spans="1:8" x14ac:dyDescent="0.15">
      <c r="A76">
        <v>9</v>
      </c>
      <c r="B76">
        <v>7.4</v>
      </c>
      <c r="C76">
        <v>6.9</v>
      </c>
      <c r="D76">
        <v>-0.5</v>
      </c>
      <c r="F76" t="s">
        <v>65</v>
      </c>
      <c r="G76">
        <v>1.7958848187040437</v>
      </c>
    </row>
    <row r="77" spans="1:8" x14ac:dyDescent="0.15">
      <c r="A77">
        <v>10</v>
      </c>
      <c r="B77">
        <v>4.9000000000000004</v>
      </c>
      <c r="C77">
        <v>4.7</v>
      </c>
      <c r="D77">
        <v>-0.20000000000000018</v>
      </c>
      <c r="F77" t="s">
        <v>66</v>
      </c>
      <c r="G77">
        <v>3.0329505663984287E-2</v>
      </c>
    </row>
    <row r="78" spans="1:8" ht="15" thickBot="1" x14ac:dyDescent="0.2">
      <c r="A78">
        <v>11</v>
      </c>
      <c r="B78">
        <v>6.1</v>
      </c>
      <c r="C78">
        <v>6</v>
      </c>
      <c r="D78">
        <v>-9.9999999999999645E-2</v>
      </c>
      <c r="F78" s="16" t="s">
        <v>67</v>
      </c>
      <c r="G78" s="16">
        <v>2.2009851600916384</v>
      </c>
      <c r="H78" s="16"/>
    </row>
    <row r="79" spans="1:8" x14ac:dyDescent="0.15">
      <c r="A79">
        <v>12</v>
      </c>
      <c r="B79">
        <v>5.2</v>
      </c>
      <c r="C79">
        <v>4.9000000000000004</v>
      </c>
      <c r="D79">
        <v>-0.29999999999999982</v>
      </c>
    </row>
    <row r="81" spans="2:4" ht="18.75" x14ac:dyDescent="0.3">
      <c r="C81" s="19" t="s">
        <v>80</v>
      </c>
      <c r="D81" s="19">
        <f>AVERAGE(_xlfn.ANCHORARRAY(D68))</f>
        <v>-0.14166666666666661</v>
      </c>
    </row>
    <row r="82" spans="2:4" x14ac:dyDescent="0.15">
      <c r="C82" s="19" t="s">
        <v>81</v>
      </c>
      <c r="D82" s="19">
        <f>_xlfn.STDEV.S(_xlfn.ANCHORARRAY(D68))</f>
        <v>0.19752253419585189</v>
      </c>
    </row>
    <row r="83" spans="2:4" x14ac:dyDescent="0.15">
      <c r="C83" s="19" t="s">
        <v>82</v>
      </c>
      <c r="D83" s="19">
        <f>ABS(D81/(D82/SQRT(COUNT(_xlfn.ANCHORARRAY(D68)))))</f>
        <v>2.4845151506844516</v>
      </c>
    </row>
    <row r="84" spans="2:4" x14ac:dyDescent="0.15">
      <c r="C84" s="19" t="s">
        <v>83</v>
      </c>
      <c r="D84" s="19">
        <f>_xlfn.T.DIST.RT(D83,COUNT(_xlfn.ANCHORARRAY(D68))-1)</f>
        <v>1.5164752831992144E-2</v>
      </c>
    </row>
    <row r="89" spans="2:4" x14ac:dyDescent="0.15">
      <c r="B89">
        <f>_xlfn.F.INV(0.005,11,9)</f>
        <v>0.18060999147405524</v>
      </c>
    </row>
    <row r="90" spans="2:4" x14ac:dyDescent="0.15">
      <c r="B90">
        <f>_xlfn.F.INV.RT(0.05,11,9)</f>
        <v>3.1024854075283796</v>
      </c>
    </row>
  </sheetData>
  <mergeCells count="2">
    <mergeCell ref="A1:C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E170-B0EC-48C6-94EC-61B8E648570E}">
  <dimension ref="B1:I26"/>
  <sheetViews>
    <sheetView topLeftCell="A12" zoomScale="130" zoomScaleNormal="130" workbookViewId="0">
      <selection activeCell="L22" sqref="L22"/>
    </sheetView>
  </sheetViews>
  <sheetFormatPr defaultRowHeight="14.25" x14ac:dyDescent="0.15"/>
  <sheetData>
    <row r="1" spans="2:9" s="1" customFormat="1" ht="71.25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7</v>
      </c>
    </row>
    <row r="2" spans="2:9" x14ac:dyDescent="0.15">
      <c r="B2">
        <v>1</v>
      </c>
      <c r="C2">
        <v>100</v>
      </c>
      <c r="D2">
        <v>12</v>
      </c>
      <c r="E2">
        <v>0.12</v>
      </c>
      <c r="F2">
        <v>2.9000000000000001E-2</v>
      </c>
      <c r="G2">
        <v>8.9999999999999993E-3</v>
      </c>
      <c r="H2">
        <v>0.183</v>
      </c>
      <c r="I2">
        <v>9.6000000000000002E-2</v>
      </c>
    </row>
    <row r="3" spans="2:9" x14ac:dyDescent="0.15">
      <c r="B3">
        <v>2</v>
      </c>
      <c r="C3">
        <v>80</v>
      </c>
      <c r="D3">
        <v>8</v>
      </c>
      <c r="E3">
        <v>0.1</v>
      </c>
      <c r="F3">
        <v>3.3000000000000002E-2</v>
      </c>
      <c r="G3">
        <v>0</v>
      </c>
      <c r="H3">
        <v>0.19500000000000001</v>
      </c>
      <c r="I3">
        <v>9.6000000000000002E-2</v>
      </c>
    </row>
    <row r="4" spans="2:9" x14ac:dyDescent="0.15">
      <c r="B4">
        <v>3</v>
      </c>
      <c r="C4">
        <v>80</v>
      </c>
      <c r="D4">
        <v>6</v>
      </c>
      <c r="E4">
        <v>7.4999999999999997E-2</v>
      </c>
      <c r="F4">
        <v>3.3000000000000002E-2</v>
      </c>
      <c r="G4">
        <v>0</v>
      </c>
      <c r="H4">
        <v>0.19500000000000001</v>
      </c>
      <c r="I4">
        <v>9.6000000000000002E-2</v>
      </c>
    </row>
    <row r="5" spans="2:9" x14ac:dyDescent="0.15">
      <c r="B5">
        <v>4</v>
      </c>
      <c r="C5">
        <v>100</v>
      </c>
      <c r="D5">
        <v>9</v>
      </c>
      <c r="E5">
        <v>0.09</v>
      </c>
      <c r="F5">
        <v>2.9000000000000001E-2</v>
      </c>
      <c r="G5">
        <v>8.9999999999999993E-3</v>
      </c>
      <c r="H5">
        <v>0.183</v>
      </c>
      <c r="I5">
        <v>9.6000000000000002E-2</v>
      </c>
    </row>
    <row r="6" spans="2:9" x14ac:dyDescent="0.15">
      <c r="B6">
        <v>5</v>
      </c>
      <c r="C6">
        <v>110</v>
      </c>
      <c r="D6">
        <v>10</v>
      </c>
      <c r="E6">
        <v>9.0999999999999998E-2</v>
      </c>
      <c r="F6">
        <v>2.8000000000000001E-2</v>
      </c>
      <c r="G6">
        <v>1.2E-2</v>
      </c>
      <c r="H6">
        <v>0.18</v>
      </c>
      <c r="I6">
        <v>9.6000000000000002E-2</v>
      </c>
    </row>
    <row r="7" spans="2:9" x14ac:dyDescent="0.15">
      <c r="B7">
        <v>6</v>
      </c>
      <c r="C7">
        <v>110</v>
      </c>
      <c r="D7">
        <v>12</v>
      </c>
      <c r="E7">
        <v>0.109</v>
      </c>
      <c r="F7">
        <v>2.8000000000000001E-2</v>
      </c>
      <c r="G7">
        <v>1.2E-2</v>
      </c>
      <c r="H7">
        <v>0.18</v>
      </c>
      <c r="I7">
        <v>9.6000000000000002E-2</v>
      </c>
    </row>
    <row r="8" spans="2:9" x14ac:dyDescent="0.15">
      <c r="B8">
        <v>7</v>
      </c>
      <c r="C8">
        <v>100</v>
      </c>
      <c r="D8">
        <v>11</v>
      </c>
      <c r="E8">
        <v>0.11</v>
      </c>
      <c r="F8">
        <v>2.9000000000000001E-2</v>
      </c>
      <c r="G8">
        <v>8.9999999999999993E-3</v>
      </c>
      <c r="H8">
        <v>0.183</v>
      </c>
      <c r="I8">
        <v>9.6000000000000002E-2</v>
      </c>
    </row>
    <row r="9" spans="2:9" x14ac:dyDescent="0.15">
      <c r="B9">
        <v>8</v>
      </c>
      <c r="C9">
        <v>100</v>
      </c>
      <c r="D9">
        <v>16</v>
      </c>
      <c r="E9">
        <v>0.16</v>
      </c>
      <c r="F9">
        <v>2.9000000000000001E-2</v>
      </c>
      <c r="G9">
        <v>8.9999999999999993E-3</v>
      </c>
      <c r="H9">
        <v>0.183</v>
      </c>
      <c r="I9">
        <v>9.6000000000000002E-2</v>
      </c>
    </row>
    <row r="10" spans="2:9" x14ac:dyDescent="0.15">
      <c r="B10">
        <v>9</v>
      </c>
      <c r="C10">
        <v>90</v>
      </c>
      <c r="D10">
        <v>10</v>
      </c>
      <c r="E10">
        <v>0.11</v>
      </c>
      <c r="F10">
        <v>3.1E-2</v>
      </c>
      <c r="G10">
        <v>3.0000000000000001E-3</v>
      </c>
      <c r="H10">
        <v>0.189</v>
      </c>
      <c r="I10">
        <v>9.6000000000000002E-2</v>
      </c>
    </row>
    <row r="11" spans="2:9" x14ac:dyDescent="0.15">
      <c r="B11">
        <v>10</v>
      </c>
      <c r="C11">
        <v>90</v>
      </c>
      <c r="D11">
        <v>6</v>
      </c>
      <c r="E11">
        <v>6.7000000000000004E-2</v>
      </c>
      <c r="F11">
        <v>3.1E-2</v>
      </c>
      <c r="G11">
        <v>3.0000000000000001E-3</v>
      </c>
      <c r="H11">
        <v>0.189</v>
      </c>
      <c r="I11">
        <v>9.6000000000000002E-2</v>
      </c>
    </row>
    <row r="12" spans="2:9" x14ac:dyDescent="0.15">
      <c r="B12">
        <v>11</v>
      </c>
      <c r="C12">
        <v>110</v>
      </c>
      <c r="D12">
        <v>20</v>
      </c>
      <c r="E12">
        <v>0.182</v>
      </c>
      <c r="F12">
        <v>2.8000000000000001E-2</v>
      </c>
      <c r="G12">
        <v>1.2E-2</v>
      </c>
      <c r="H12">
        <v>0.18</v>
      </c>
      <c r="I12">
        <v>9.6000000000000002E-2</v>
      </c>
    </row>
    <row r="13" spans="2:9" x14ac:dyDescent="0.15">
      <c r="B13">
        <v>12</v>
      </c>
      <c r="C13">
        <v>120</v>
      </c>
      <c r="D13">
        <v>15</v>
      </c>
      <c r="E13">
        <v>0.125</v>
      </c>
      <c r="F13">
        <v>2.7E-2</v>
      </c>
      <c r="G13">
        <v>1.4999999999999999E-2</v>
      </c>
      <c r="H13">
        <v>0.17699999999999999</v>
      </c>
      <c r="I13">
        <v>9.6000000000000002E-2</v>
      </c>
    </row>
    <row r="14" spans="2:9" x14ac:dyDescent="0.15">
      <c r="B14">
        <v>13</v>
      </c>
      <c r="C14">
        <v>120</v>
      </c>
      <c r="D14">
        <v>9</v>
      </c>
      <c r="E14">
        <v>7.4999999999999997E-2</v>
      </c>
      <c r="F14">
        <v>2.7E-2</v>
      </c>
      <c r="G14">
        <v>1.4999999999999999E-2</v>
      </c>
      <c r="H14">
        <v>0.17699999999999999</v>
      </c>
      <c r="I14">
        <v>9.6000000000000002E-2</v>
      </c>
    </row>
    <row r="15" spans="2:9" x14ac:dyDescent="0.15">
      <c r="B15">
        <v>14</v>
      </c>
      <c r="C15">
        <v>120</v>
      </c>
      <c r="D15">
        <v>8</v>
      </c>
      <c r="E15">
        <v>6.7000000000000004E-2</v>
      </c>
      <c r="F15">
        <v>2.7E-2</v>
      </c>
      <c r="G15">
        <v>1.4999999999999999E-2</v>
      </c>
      <c r="H15">
        <v>0.17699999999999999</v>
      </c>
      <c r="I15">
        <v>9.6000000000000002E-2</v>
      </c>
    </row>
    <row r="16" spans="2:9" x14ac:dyDescent="0.15">
      <c r="B16">
        <v>15</v>
      </c>
      <c r="C16">
        <v>110</v>
      </c>
      <c r="D16">
        <v>6</v>
      </c>
      <c r="E16">
        <v>5.5E-2</v>
      </c>
      <c r="F16">
        <v>2.8000000000000001E-2</v>
      </c>
      <c r="G16">
        <v>1.2E-2</v>
      </c>
      <c r="H16">
        <v>0.18</v>
      </c>
      <c r="I16">
        <v>9.6000000000000002E-2</v>
      </c>
    </row>
    <row r="17" spans="2:9" x14ac:dyDescent="0.15">
      <c r="B17">
        <v>16</v>
      </c>
      <c r="C17">
        <v>80</v>
      </c>
      <c r="D17">
        <v>8</v>
      </c>
      <c r="E17">
        <v>0.1</v>
      </c>
      <c r="F17">
        <v>3.3000000000000002E-2</v>
      </c>
      <c r="G17">
        <v>0</v>
      </c>
      <c r="H17">
        <v>0.19500000000000001</v>
      </c>
      <c r="I17">
        <v>9.6000000000000002E-2</v>
      </c>
    </row>
    <row r="18" spans="2:9" x14ac:dyDescent="0.15">
      <c r="B18">
        <v>17</v>
      </c>
      <c r="C18">
        <v>80</v>
      </c>
      <c r="D18">
        <v>10</v>
      </c>
      <c r="E18">
        <v>0.125</v>
      </c>
      <c r="F18">
        <v>3.3000000000000002E-2</v>
      </c>
      <c r="G18">
        <v>0</v>
      </c>
      <c r="H18">
        <v>0.19500000000000001</v>
      </c>
      <c r="I18">
        <v>9.6000000000000002E-2</v>
      </c>
    </row>
    <row r="19" spans="2:9" x14ac:dyDescent="0.15">
      <c r="B19">
        <v>18</v>
      </c>
      <c r="C19">
        <v>80</v>
      </c>
      <c r="D19">
        <v>7</v>
      </c>
      <c r="E19">
        <v>8.7999999999999995E-2</v>
      </c>
      <c r="F19">
        <v>3.3000000000000002E-2</v>
      </c>
      <c r="G19">
        <v>0</v>
      </c>
      <c r="H19">
        <v>0.19500000000000001</v>
      </c>
      <c r="I19">
        <v>9.6000000000000002E-2</v>
      </c>
    </row>
    <row r="20" spans="2:9" x14ac:dyDescent="0.15">
      <c r="B20">
        <v>19</v>
      </c>
      <c r="C20">
        <v>90</v>
      </c>
      <c r="D20">
        <v>5</v>
      </c>
      <c r="E20">
        <v>5.6000000000000001E-2</v>
      </c>
      <c r="F20">
        <v>3.1E-2</v>
      </c>
      <c r="G20">
        <v>3.0000000000000001E-3</v>
      </c>
      <c r="H20">
        <v>0.189</v>
      </c>
      <c r="I20">
        <v>9.6000000000000002E-2</v>
      </c>
    </row>
    <row r="21" spans="2:9" x14ac:dyDescent="0.15">
      <c r="B21">
        <v>20</v>
      </c>
      <c r="C21">
        <v>100</v>
      </c>
      <c r="D21">
        <v>8</v>
      </c>
      <c r="E21">
        <v>0.08</v>
      </c>
      <c r="F21">
        <v>2.9000000000000001E-2</v>
      </c>
      <c r="G21">
        <v>8.9999999999999993E-3</v>
      </c>
      <c r="H21">
        <v>0.183</v>
      </c>
      <c r="I21">
        <v>9.6000000000000002E-2</v>
      </c>
    </row>
    <row r="22" spans="2:9" x14ac:dyDescent="0.15">
      <c r="B22">
        <v>21</v>
      </c>
      <c r="C22">
        <v>100</v>
      </c>
      <c r="D22">
        <v>5</v>
      </c>
      <c r="E22">
        <v>0.05</v>
      </c>
      <c r="F22">
        <v>2.9000000000000001E-2</v>
      </c>
      <c r="G22">
        <v>8.9999999999999993E-3</v>
      </c>
      <c r="H22">
        <v>0.183</v>
      </c>
      <c r="I22">
        <v>9.6000000000000002E-2</v>
      </c>
    </row>
    <row r="23" spans="2:9" x14ac:dyDescent="0.15">
      <c r="B23">
        <v>22</v>
      </c>
      <c r="C23">
        <v>100</v>
      </c>
      <c r="D23">
        <v>8</v>
      </c>
      <c r="E23">
        <v>0.08</v>
      </c>
      <c r="F23">
        <v>2.9000000000000001E-2</v>
      </c>
      <c r="G23">
        <v>8.9999999999999993E-3</v>
      </c>
      <c r="H23">
        <v>0.183</v>
      </c>
      <c r="I23">
        <v>9.6000000000000002E-2</v>
      </c>
    </row>
    <row r="24" spans="2:9" x14ac:dyDescent="0.15">
      <c r="B24">
        <v>23</v>
      </c>
      <c r="C24">
        <v>100</v>
      </c>
      <c r="D24">
        <v>10</v>
      </c>
      <c r="E24">
        <v>0.1</v>
      </c>
      <c r="F24">
        <v>2.9000000000000001E-2</v>
      </c>
      <c r="G24">
        <v>8.9999999999999993E-3</v>
      </c>
      <c r="H24">
        <v>0.183</v>
      </c>
      <c r="I24">
        <v>9.6000000000000002E-2</v>
      </c>
    </row>
    <row r="25" spans="2:9" x14ac:dyDescent="0.15">
      <c r="B25">
        <v>24</v>
      </c>
      <c r="C25">
        <v>90</v>
      </c>
      <c r="D25">
        <v>6</v>
      </c>
      <c r="E25">
        <v>6.7000000000000004E-2</v>
      </c>
      <c r="F25">
        <v>3.1E-2</v>
      </c>
      <c r="G25">
        <v>3.0000000000000001E-3</v>
      </c>
      <c r="H25">
        <v>0.189</v>
      </c>
      <c r="I25">
        <v>9.6000000000000002E-2</v>
      </c>
    </row>
    <row r="26" spans="2:9" x14ac:dyDescent="0.15">
      <c r="B26">
        <v>25</v>
      </c>
      <c r="C26">
        <v>90</v>
      </c>
      <c r="D26">
        <v>9</v>
      </c>
      <c r="E26">
        <v>0.1</v>
      </c>
      <c r="F26">
        <v>3.1E-2</v>
      </c>
      <c r="G26">
        <v>3.0000000000000001E-3</v>
      </c>
      <c r="H26">
        <v>0.189</v>
      </c>
      <c r="I26">
        <v>9.6000000000000002E-2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D1FA-1654-4100-94AE-D107E066FDCA}">
  <dimension ref="B2:V101"/>
  <sheetViews>
    <sheetView zoomScale="130" zoomScaleNormal="130" workbookViewId="0">
      <selection activeCell="U59" sqref="U59"/>
    </sheetView>
  </sheetViews>
  <sheetFormatPr defaultRowHeight="14.25" x14ac:dyDescent="0.15"/>
  <cols>
    <col min="3" max="3" width="20.375" bestFit="1" customWidth="1"/>
    <col min="7" max="7" width="20.375" bestFit="1" customWidth="1"/>
    <col min="8" max="8" width="10.75" bestFit="1" customWidth="1"/>
    <col min="9" max="9" width="12.5" bestFit="1" customWidth="1"/>
    <col min="10" max="10" width="12.5" customWidth="1"/>
    <col min="12" max="12" width="26.25" bestFit="1" customWidth="1"/>
    <col min="13" max="13" width="12.5" bestFit="1" customWidth="1"/>
    <col min="17" max="17" width="14.75" bestFit="1" customWidth="1"/>
    <col min="18" max="18" width="13.125" bestFit="1" customWidth="1"/>
    <col min="19" max="20" width="12.5" bestFit="1" customWidth="1"/>
    <col min="21" max="21" width="12.375" bestFit="1" customWidth="1"/>
  </cols>
  <sheetData>
    <row r="2" spans="2:21" x14ac:dyDescent="0.15">
      <c r="B2" s="21" t="s">
        <v>106</v>
      </c>
      <c r="C2" s="21" t="s">
        <v>84</v>
      </c>
      <c r="D2" s="21" t="s">
        <v>85</v>
      </c>
    </row>
    <row r="3" spans="2:21" x14ac:dyDescent="0.15">
      <c r="B3">
        <v>1</v>
      </c>
      <c r="C3" t="s">
        <v>87</v>
      </c>
      <c r="D3">
        <v>34</v>
      </c>
    </row>
    <row r="4" spans="2:21" x14ac:dyDescent="0.15">
      <c r="B4">
        <v>2</v>
      </c>
      <c r="C4" t="s">
        <v>88</v>
      </c>
      <c r="D4">
        <v>29</v>
      </c>
    </row>
    <row r="5" spans="2:21" x14ac:dyDescent="0.15">
      <c r="B5">
        <v>3</v>
      </c>
      <c r="C5" t="s">
        <v>89</v>
      </c>
      <c r="D5">
        <v>13</v>
      </c>
    </row>
    <row r="6" spans="2:21" x14ac:dyDescent="0.15">
      <c r="B6">
        <v>4</v>
      </c>
      <c r="C6" t="s">
        <v>90</v>
      </c>
      <c r="D6">
        <v>17</v>
      </c>
      <c r="R6" t="s">
        <v>139</v>
      </c>
      <c r="S6" t="s">
        <v>138</v>
      </c>
    </row>
    <row r="7" spans="2:21" x14ac:dyDescent="0.15">
      <c r="B7">
        <v>5</v>
      </c>
      <c r="C7" t="s">
        <v>91</v>
      </c>
      <c r="D7">
        <v>2</v>
      </c>
      <c r="R7">
        <v>8.65</v>
      </c>
      <c r="S7">
        <v>8.76</v>
      </c>
      <c r="U7">
        <f>_xlfn.F.TEST(R6:R15,S6:S15)</f>
        <v>4.6482045518372102E-2</v>
      </c>
    </row>
    <row r="8" spans="2:21" x14ac:dyDescent="0.15">
      <c r="B8">
        <v>6</v>
      </c>
      <c r="C8" t="s">
        <v>92</v>
      </c>
      <c r="D8">
        <v>4</v>
      </c>
      <c r="R8">
        <v>8.74</v>
      </c>
      <c r="S8">
        <v>8.81</v>
      </c>
    </row>
    <row r="9" spans="2:21" x14ac:dyDescent="0.15">
      <c r="B9">
        <v>7</v>
      </c>
      <c r="C9" t="s">
        <v>93</v>
      </c>
      <c r="D9">
        <v>3</v>
      </c>
      <c r="R9">
        <v>8.91</v>
      </c>
      <c r="S9">
        <v>8.81</v>
      </c>
      <c r="U9">
        <f>_xlfn.T.TEST(R7:R15,S7:S15,2,3)</f>
        <v>0.76290170174349736</v>
      </c>
    </row>
    <row r="10" spans="2:21" x14ac:dyDescent="0.15">
      <c r="B10">
        <v>8</v>
      </c>
      <c r="C10" t="s">
        <v>94</v>
      </c>
      <c r="D10">
        <v>3</v>
      </c>
      <c r="M10">
        <f>_xlfn.F.DIST(0.8738,199,199,TRUE)</f>
        <v>0.17106330148543383</v>
      </c>
      <c r="N10">
        <f>2*M10</f>
        <v>0.34212660297086767</v>
      </c>
      <c r="R10">
        <v>8.7200000000000006</v>
      </c>
      <c r="S10">
        <v>8.6999999999999993</v>
      </c>
    </row>
    <row r="11" spans="2:21" x14ac:dyDescent="0.15">
      <c r="B11">
        <v>9</v>
      </c>
      <c r="C11" t="s">
        <v>95</v>
      </c>
      <c r="D11">
        <v>6</v>
      </c>
      <c r="R11">
        <v>8.85</v>
      </c>
      <c r="S11">
        <v>8.73</v>
      </c>
      <c r="U11">
        <f>_xlfn.T.INV(0.01,16)</f>
        <v>-2.5834871852759917</v>
      </c>
    </row>
    <row r="12" spans="2:21" x14ac:dyDescent="0.15">
      <c r="B12">
        <v>10</v>
      </c>
      <c r="C12" t="s">
        <v>96</v>
      </c>
      <c r="D12">
        <v>1</v>
      </c>
      <c r="R12">
        <v>8.52</v>
      </c>
      <c r="S12">
        <v>8.76</v>
      </c>
      <c r="U12">
        <f>_xlfn.T.DIST.RT(1.8863,29)</f>
        <v>3.4652508447093222E-2</v>
      </c>
    </row>
    <row r="13" spans="2:21" x14ac:dyDescent="0.15">
      <c r="B13">
        <v>11</v>
      </c>
      <c r="C13" t="s">
        <v>97</v>
      </c>
      <c r="D13">
        <v>2</v>
      </c>
      <c r="R13">
        <v>8.6199999999999992</v>
      </c>
      <c r="S13">
        <v>8.68</v>
      </c>
    </row>
    <row r="14" spans="2:21" x14ac:dyDescent="0.15">
      <c r="B14">
        <v>12</v>
      </c>
      <c r="C14" t="s">
        <v>98</v>
      </c>
      <c r="D14">
        <v>1</v>
      </c>
      <c r="R14">
        <v>8.68</v>
      </c>
      <c r="S14">
        <v>8.64</v>
      </c>
    </row>
    <row r="15" spans="2:21" x14ac:dyDescent="0.15">
      <c r="B15">
        <v>13</v>
      </c>
      <c r="C15" t="s">
        <v>99</v>
      </c>
      <c r="D15">
        <v>5</v>
      </c>
      <c r="R15">
        <v>8.86</v>
      </c>
      <c r="S15">
        <v>8.7899999999999991</v>
      </c>
    </row>
    <row r="16" spans="2:21" x14ac:dyDescent="0.15">
      <c r="B16">
        <v>14</v>
      </c>
      <c r="C16" t="s">
        <v>100</v>
      </c>
      <c r="D16">
        <v>1</v>
      </c>
      <c r="Q16" t="s">
        <v>140</v>
      </c>
      <c r="R16">
        <f>_xlfn.STDEV.S(R7:R15)</f>
        <v>0.12696237412889089</v>
      </c>
      <c r="S16">
        <f>_xlfn.STDEV.S(S7:S15)</f>
        <v>5.9535236998305853E-2</v>
      </c>
    </row>
    <row r="17" spans="2:22" ht="16.5" x14ac:dyDescent="0.15">
      <c r="B17">
        <v>15</v>
      </c>
      <c r="C17" t="s">
        <v>101</v>
      </c>
      <c r="D17">
        <v>2</v>
      </c>
      <c r="Q17" t="s">
        <v>141</v>
      </c>
      <c r="R17">
        <f>_xlfn.VAR.S(R7:R15)</f>
        <v>1.6119444444444461E-2</v>
      </c>
      <c r="S17">
        <f>_xlfn.VAR.S(S7:S15)</f>
        <v>3.544444444444446E-3</v>
      </c>
    </row>
    <row r="18" spans="2:22" x14ac:dyDescent="0.15">
      <c r="B18">
        <v>16</v>
      </c>
      <c r="C18" t="s">
        <v>102</v>
      </c>
      <c r="D18">
        <v>2</v>
      </c>
    </row>
    <row r="19" spans="2:22" x14ac:dyDescent="0.15">
      <c r="B19">
        <v>17</v>
      </c>
      <c r="C19" t="s">
        <v>103</v>
      </c>
      <c r="D19">
        <v>36</v>
      </c>
      <c r="Q19" t="s">
        <v>134</v>
      </c>
      <c r="R19">
        <f>R17/S17</f>
        <v>4.5478056426332314</v>
      </c>
    </row>
    <row r="20" spans="2:22" x14ac:dyDescent="0.15">
      <c r="B20">
        <v>18</v>
      </c>
      <c r="C20" t="s">
        <v>104</v>
      </c>
      <c r="D20">
        <v>1</v>
      </c>
    </row>
    <row r="21" spans="2:22" ht="18.75" x14ac:dyDescent="0.3">
      <c r="B21">
        <v>19</v>
      </c>
      <c r="C21" t="s">
        <v>105</v>
      </c>
      <c r="D21">
        <v>4</v>
      </c>
      <c r="Q21" t="s">
        <v>143</v>
      </c>
      <c r="R21">
        <f>_xlfn.F.DIST.RT(R19,8,8)</f>
        <v>2.3241022759186051E-2</v>
      </c>
    </row>
    <row r="22" spans="2:22" ht="18.75" x14ac:dyDescent="0.3">
      <c r="C22" t="s">
        <v>86</v>
      </c>
      <c r="D22">
        <f>SUM(D3:D21)</f>
        <v>166</v>
      </c>
      <c r="Q22" t="s">
        <v>144</v>
      </c>
      <c r="R22">
        <f>_xlfn.F.DIST(R19,8,8,TRUE)</f>
        <v>0.97675897724081395</v>
      </c>
    </row>
    <row r="24" spans="2:22" x14ac:dyDescent="0.15">
      <c r="Q24" t="s">
        <v>83</v>
      </c>
      <c r="R24">
        <f>2*(MIN(R21:R22))</f>
        <v>4.6482045518372102E-2</v>
      </c>
    </row>
    <row r="27" spans="2:22" x14ac:dyDescent="0.15">
      <c r="D27">
        <f>FACT(5)</f>
        <v>120</v>
      </c>
    </row>
    <row r="29" spans="2:22" x14ac:dyDescent="0.15">
      <c r="E29">
        <f>_xlfn.CHISQ.DIST.RT(16,9)</f>
        <v>6.6881587774126769E-2</v>
      </c>
    </row>
    <row r="30" spans="2:22" x14ac:dyDescent="0.15">
      <c r="I30" t="s">
        <v>125</v>
      </c>
      <c r="J30" t="s">
        <v>126</v>
      </c>
      <c r="L30" t="s">
        <v>127</v>
      </c>
      <c r="R30" t="s">
        <v>147</v>
      </c>
      <c r="S30" t="s">
        <v>145</v>
      </c>
      <c r="T30" t="s">
        <v>146</v>
      </c>
    </row>
    <row r="31" spans="2:22" ht="15" thickBot="1" x14ac:dyDescent="0.2">
      <c r="E31">
        <f>_xlfn.CHISQ.INV.RT(0.05,9)</f>
        <v>16.918977604620451</v>
      </c>
      <c r="I31">
        <v>0.32</v>
      </c>
      <c r="J31">
        <v>0.26</v>
      </c>
      <c r="R31">
        <v>1</v>
      </c>
      <c r="S31">
        <v>1.1000000000000001E-3</v>
      </c>
      <c r="T31">
        <v>1.1000000000000001E-3</v>
      </c>
      <c r="V31">
        <f>_xlfn.T.TEST(T30:T43,S30:S43,1,3)</f>
        <v>9.288661954112426E-2</v>
      </c>
    </row>
    <row r="32" spans="2:22" x14ac:dyDescent="0.15">
      <c r="E32">
        <f>_xlfn.F.INV.RT(0.1/2,11,9)</f>
        <v>3.1024854075283796</v>
      </c>
      <c r="I32">
        <v>0.53</v>
      </c>
      <c r="J32">
        <v>0.43</v>
      </c>
      <c r="L32" s="17"/>
      <c r="M32" s="17" t="s">
        <v>126</v>
      </c>
      <c r="N32" s="17" t="s">
        <v>125</v>
      </c>
      <c r="R32">
        <v>2</v>
      </c>
      <c r="S32">
        <v>1.4E-3</v>
      </c>
      <c r="T32">
        <v>1E-3</v>
      </c>
    </row>
    <row r="33" spans="5:20" x14ac:dyDescent="0.15">
      <c r="E33">
        <f>_xlfn.F.INV(0.1/2,11,9)</f>
        <v>0.3452773085573656</v>
      </c>
      <c r="I33">
        <v>0.28000000000000003</v>
      </c>
      <c r="J33">
        <v>0.47</v>
      </c>
      <c r="L33" t="s">
        <v>57</v>
      </c>
      <c r="M33">
        <v>0.56500000000000006</v>
      </c>
      <c r="N33">
        <v>0.39899999999999997</v>
      </c>
      <c r="R33">
        <v>3</v>
      </c>
      <c r="S33">
        <v>1.8E-3</v>
      </c>
      <c r="T33">
        <v>1.9E-3</v>
      </c>
    </row>
    <row r="34" spans="5:20" x14ac:dyDescent="0.15">
      <c r="E34">
        <f>_xlfn.F.DIST.RT(0.64,11,9)</f>
        <v>0.76067519478904388</v>
      </c>
      <c r="I34">
        <v>0.37</v>
      </c>
      <c r="J34">
        <v>0.49</v>
      </c>
      <c r="L34" t="s">
        <v>58</v>
      </c>
      <c r="M34">
        <v>3.4872222222222166E-2</v>
      </c>
      <c r="N34">
        <v>5.2988888888889146E-3</v>
      </c>
      <c r="R34">
        <v>4</v>
      </c>
      <c r="S34">
        <v>2.2000000000000001E-3</v>
      </c>
      <c r="T34">
        <v>1.2999999999999999E-3</v>
      </c>
    </row>
    <row r="35" spans="5:20" x14ac:dyDescent="0.15">
      <c r="I35">
        <v>0.47</v>
      </c>
      <c r="J35">
        <v>0.52</v>
      </c>
      <c r="L35" t="s">
        <v>59</v>
      </c>
      <c r="M35">
        <v>10</v>
      </c>
      <c r="N35">
        <v>10</v>
      </c>
      <c r="R35">
        <v>5</v>
      </c>
      <c r="S35">
        <v>1E-3</v>
      </c>
      <c r="T35">
        <v>1.1000000000000001E-3</v>
      </c>
    </row>
    <row r="36" spans="5:20" x14ac:dyDescent="0.15">
      <c r="I36">
        <v>0.43</v>
      </c>
      <c r="J36">
        <v>0.75</v>
      </c>
      <c r="L36" t="s">
        <v>62</v>
      </c>
      <c r="M36">
        <v>9</v>
      </c>
      <c r="N36">
        <v>9</v>
      </c>
      <c r="R36">
        <v>6</v>
      </c>
      <c r="S36">
        <v>1.6000000000000001E-3</v>
      </c>
      <c r="T36">
        <v>1.6999999999999999E-3</v>
      </c>
    </row>
    <row r="37" spans="5:20" x14ac:dyDescent="0.15">
      <c r="I37">
        <v>0.36</v>
      </c>
      <c r="J37">
        <v>0.79</v>
      </c>
      <c r="L37" t="s">
        <v>128</v>
      </c>
      <c r="M37">
        <v>6.581044244076284</v>
      </c>
      <c r="R37">
        <v>7</v>
      </c>
      <c r="S37">
        <v>2.8E-3</v>
      </c>
      <c r="T37">
        <v>2.3999999999999998E-3</v>
      </c>
    </row>
    <row r="38" spans="5:20" x14ac:dyDescent="0.15">
      <c r="I38">
        <v>0.42</v>
      </c>
      <c r="J38">
        <v>0.86</v>
      </c>
      <c r="L38" t="s">
        <v>129</v>
      </c>
      <c r="M38">
        <v>4.8933461469122435E-3</v>
      </c>
      <c r="R38">
        <v>8</v>
      </c>
      <c r="S38">
        <v>2E-3</v>
      </c>
      <c r="T38">
        <v>2E-3</v>
      </c>
    </row>
    <row r="39" spans="5:20" ht="15" thickBot="1" x14ac:dyDescent="0.2">
      <c r="I39">
        <v>0.38</v>
      </c>
      <c r="J39">
        <v>0.62</v>
      </c>
      <c r="L39" s="16" t="s">
        <v>130</v>
      </c>
      <c r="M39" s="16">
        <v>3.17889310445827</v>
      </c>
      <c r="N39" s="16"/>
      <c r="R39">
        <v>9</v>
      </c>
      <c r="S39">
        <v>1.5E-3</v>
      </c>
      <c r="T39">
        <v>1.2999999999999999E-3</v>
      </c>
    </row>
    <row r="40" spans="5:20" x14ac:dyDescent="0.15">
      <c r="I40">
        <v>0.43</v>
      </c>
      <c r="J40">
        <v>0.46</v>
      </c>
      <c r="R40">
        <v>10</v>
      </c>
      <c r="S40">
        <v>1.4E-3</v>
      </c>
      <c r="T40">
        <v>1.2999999999999999E-3</v>
      </c>
    </row>
    <row r="41" spans="5:20" x14ac:dyDescent="0.15">
      <c r="R41">
        <v>11</v>
      </c>
      <c r="S41">
        <v>2.3E-3</v>
      </c>
      <c r="T41">
        <v>1.6999999999999999E-3</v>
      </c>
    </row>
    <row r="42" spans="5:20" x14ac:dyDescent="0.15">
      <c r="I42">
        <f>_xlfn.STDEV.S(I31:I40)</f>
        <v>7.2793467350366778E-2</v>
      </c>
      <c r="J42">
        <f>_xlfn.STDEV.S(J31:J40)</f>
        <v>0.18674105660572388</v>
      </c>
      <c r="R42">
        <v>12</v>
      </c>
      <c r="S42">
        <v>1.6999999999999999E-3</v>
      </c>
      <c r="T42">
        <v>1.5E-3</v>
      </c>
    </row>
    <row r="43" spans="5:20" x14ac:dyDescent="0.15">
      <c r="I43">
        <f>I42^2</f>
        <v>5.2988888888889137E-3</v>
      </c>
      <c r="J43">
        <f>J42^2</f>
        <v>3.4872222222222166E-2</v>
      </c>
      <c r="R43">
        <v>13</v>
      </c>
      <c r="S43">
        <v>2E-3</v>
      </c>
      <c r="T43">
        <v>1.2999999999999999E-3</v>
      </c>
    </row>
    <row r="44" spans="5:20" x14ac:dyDescent="0.15">
      <c r="J44">
        <f>J43/I43</f>
        <v>6.5810442440762849</v>
      </c>
    </row>
    <row r="45" spans="5:20" x14ac:dyDescent="0.15">
      <c r="R45" t="s">
        <v>73</v>
      </c>
      <c r="S45">
        <f>AVERAGE(S31:S43)</f>
        <v>1.753846153846154E-3</v>
      </c>
      <c r="T45">
        <f>AVERAGE(T31:T43)</f>
        <v>1.5076923076923075E-3</v>
      </c>
    </row>
    <row r="46" spans="5:20" x14ac:dyDescent="0.15">
      <c r="I46" t="s">
        <v>131</v>
      </c>
      <c r="J46">
        <f>_xlfn.F.INV(0.025,9,9)</f>
        <v>0.24838585469445484</v>
      </c>
      <c r="R46" t="s">
        <v>148</v>
      </c>
      <c r="S46">
        <f>_xlfn.STDEV.S(S31:S43)</f>
        <v>5.0434013756489213E-4</v>
      </c>
      <c r="T46">
        <f>_xlfn.STDEV.S(T31:T43)</f>
        <v>4.1122082158198659E-4</v>
      </c>
    </row>
    <row r="47" spans="5:20" x14ac:dyDescent="0.15">
      <c r="I47" t="s">
        <v>131</v>
      </c>
      <c r="J47">
        <f>_xlfn.F.DIST.RT(0.025,9,9)</f>
        <v>0.99999658901991573</v>
      </c>
      <c r="R47" t="s">
        <v>58</v>
      </c>
      <c r="S47">
        <f>_xlfn.VAR.S(S31:S43)</f>
        <v>2.543589743589743E-7</v>
      </c>
      <c r="T47">
        <f>_xlfn.VAR.S(T31:T43)</f>
        <v>1.6910256410256405E-7</v>
      </c>
    </row>
    <row r="49" spans="8:21" x14ac:dyDescent="0.15">
      <c r="J49">
        <f>_xlfn.F.DIST.RT(J44,9,9)</f>
        <v>4.8933461469122435E-3</v>
      </c>
      <c r="R49" t="s">
        <v>149</v>
      </c>
      <c r="S49">
        <f>POWER(((S47/COUNT(S31:S43))+(T47/COUNT(T31:T43))),2)</f>
        <v>1.0610631630545141E-15</v>
      </c>
    </row>
    <row r="50" spans="8:21" x14ac:dyDescent="0.15">
      <c r="S50">
        <f>((S47/13)^2/12)+((T47/13)^2/12)</f>
        <v>4.6003039952175113E-17</v>
      </c>
    </row>
    <row r="51" spans="8:21" x14ac:dyDescent="0.15">
      <c r="S51">
        <f>S49/S50</f>
        <v>23.065066225136388</v>
      </c>
    </row>
    <row r="53" spans="8:21" x14ac:dyDescent="0.15">
      <c r="I53" t="s">
        <v>132</v>
      </c>
      <c r="J53" t="s">
        <v>133</v>
      </c>
      <c r="L53" t="s">
        <v>127</v>
      </c>
      <c r="S53">
        <f>_xlfn.T.INV.2T(0.05,23)</f>
        <v>2.0686576104190491</v>
      </c>
    </row>
    <row r="54" spans="8:21" ht="15" thickBot="1" x14ac:dyDescent="0.2">
      <c r="I54">
        <v>0.86</v>
      </c>
      <c r="J54">
        <v>0.87</v>
      </c>
    </row>
    <row r="55" spans="8:21" x14ac:dyDescent="0.15">
      <c r="I55">
        <v>0.82</v>
      </c>
      <c r="J55">
        <v>0.74</v>
      </c>
      <c r="L55" s="17"/>
      <c r="M55" s="17" t="s">
        <v>132</v>
      </c>
      <c r="N55" s="17" t="s">
        <v>133</v>
      </c>
    </row>
    <row r="56" spans="8:21" x14ac:dyDescent="0.15">
      <c r="I56">
        <v>0.75</v>
      </c>
      <c r="J56">
        <v>0.63</v>
      </c>
      <c r="L56" t="s">
        <v>57</v>
      </c>
      <c r="M56">
        <v>0.74555555555555542</v>
      </c>
      <c r="N56">
        <v>0.6711111111111111</v>
      </c>
    </row>
    <row r="57" spans="8:21" x14ac:dyDescent="0.15">
      <c r="I57">
        <v>0.61</v>
      </c>
      <c r="J57">
        <v>0.55000000000000004</v>
      </c>
      <c r="L57" t="s">
        <v>58</v>
      </c>
      <c r="M57">
        <v>1.0827777777777992E-2</v>
      </c>
      <c r="N57">
        <v>1.2486111111111087E-2</v>
      </c>
      <c r="R57" s="37" t="s">
        <v>150</v>
      </c>
      <c r="S57" s="37" t="s">
        <v>151</v>
      </c>
      <c r="U57">
        <f>_xlfn.F.TEST(R58:R77,S58:S78)</f>
        <v>2.9879425820853343E-13</v>
      </c>
    </row>
    <row r="58" spans="8:21" x14ac:dyDescent="0.15">
      <c r="I58">
        <v>0.89</v>
      </c>
      <c r="J58">
        <v>0.76</v>
      </c>
      <c r="L58" t="s">
        <v>59</v>
      </c>
      <c r="M58">
        <v>9</v>
      </c>
      <c r="N58">
        <v>9</v>
      </c>
      <c r="R58">
        <v>2.95</v>
      </c>
      <c r="S58">
        <v>0.28999999999999998</v>
      </c>
    </row>
    <row r="59" spans="8:21" x14ac:dyDescent="0.15">
      <c r="I59">
        <v>0.64</v>
      </c>
      <c r="J59">
        <v>0.7</v>
      </c>
      <c r="L59" t="s">
        <v>62</v>
      </c>
      <c r="M59">
        <v>8</v>
      </c>
      <c r="N59">
        <v>8</v>
      </c>
      <c r="R59">
        <v>2.91</v>
      </c>
      <c r="S59">
        <v>0.72</v>
      </c>
      <c r="U59">
        <f>_xlfn.T.TEST(R58:R77,S58:S78,2,3)</f>
        <v>1.1895398930814708E-6</v>
      </c>
    </row>
    <row r="60" spans="8:21" x14ac:dyDescent="0.15">
      <c r="I60">
        <v>0.81</v>
      </c>
      <c r="J60">
        <v>0.69</v>
      </c>
      <c r="L60" t="s">
        <v>128</v>
      </c>
      <c r="M60">
        <v>0.86718576195774966</v>
      </c>
      <c r="R60">
        <v>3.45</v>
      </c>
      <c r="S60">
        <v>0.6</v>
      </c>
    </row>
    <row r="61" spans="8:21" x14ac:dyDescent="0.15">
      <c r="I61">
        <v>0.68</v>
      </c>
      <c r="J61">
        <v>0.56999999999999995</v>
      </c>
      <c r="L61" t="s">
        <v>129</v>
      </c>
      <c r="M61">
        <v>0.42259322988990355</v>
      </c>
      <c r="R61">
        <v>5.74</v>
      </c>
      <c r="S61">
        <v>0.56000000000000005</v>
      </c>
    </row>
    <row r="62" spans="8:21" ht="15" thickBot="1" x14ac:dyDescent="0.2">
      <c r="I62">
        <v>0.65</v>
      </c>
      <c r="J62">
        <v>0.53</v>
      </c>
      <c r="L62" s="16" t="s">
        <v>130</v>
      </c>
      <c r="M62" s="16">
        <v>0.29085821856934957</v>
      </c>
      <c r="N62" s="16"/>
      <c r="R62">
        <v>1.58</v>
      </c>
      <c r="S62">
        <v>0.47</v>
      </c>
    </row>
    <row r="63" spans="8:21" x14ac:dyDescent="0.15">
      <c r="H63" t="s">
        <v>81</v>
      </c>
      <c r="I63">
        <f>POWER(_xlfn.STDEV.S(I54:I62),2)</f>
        <v>1.0827777777777993E-2</v>
      </c>
      <c r="J63">
        <f>POWER(_xlfn.STDEV.S(J54:J62),2)</f>
        <v>1.2486111111111087E-2</v>
      </c>
      <c r="R63">
        <v>3.22</v>
      </c>
      <c r="S63">
        <v>0.31</v>
      </c>
    </row>
    <row r="64" spans="8:21" x14ac:dyDescent="0.15">
      <c r="H64" t="s">
        <v>134</v>
      </c>
      <c r="I64">
        <f>I63/J63</f>
        <v>0.86718576195774977</v>
      </c>
      <c r="R64">
        <v>2.17</v>
      </c>
      <c r="S64">
        <v>0.54</v>
      </c>
    </row>
    <row r="65" spans="8:19" x14ac:dyDescent="0.15">
      <c r="R65">
        <v>2.0699999999999998</v>
      </c>
      <c r="S65">
        <v>0.84</v>
      </c>
    </row>
    <row r="66" spans="8:19" x14ac:dyDescent="0.15">
      <c r="H66" t="s">
        <v>135</v>
      </c>
      <c r="I66">
        <f>_xlfn.F.INV(0.05/2,COUNT(I54:I62)-1,COUNT(J54:J62)-1)</f>
        <v>0.22556764660698242</v>
      </c>
      <c r="R66">
        <v>1.83</v>
      </c>
      <c r="S66">
        <v>0.66</v>
      </c>
    </row>
    <row r="67" spans="8:19" x14ac:dyDescent="0.15">
      <c r="H67" t="s">
        <v>136</v>
      </c>
      <c r="I67">
        <f>_xlfn.F.INV.RT(0.05/2,COUNT(I54:I62)-1,COUNT(J54:J62)-1)</f>
        <v>4.4332598891823745</v>
      </c>
      <c r="R67">
        <v>2.84</v>
      </c>
      <c r="S67">
        <v>0.35</v>
      </c>
    </row>
    <row r="68" spans="8:19" x14ac:dyDescent="0.15">
      <c r="R68">
        <v>0.77</v>
      </c>
      <c r="S68">
        <v>0.43</v>
      </c>
    </row>
    <row r="69" spans="8:19" x14ac:dyDescent="0.15">
      <c r="H69" t="s">
        <v>137</v>
      </c>
      <c r="I69">
        <f>_xlfn.F.DIST(I64,COUNT(I54:I62)-1,COUNT(J54:J62)-1,TRUE)</f>
        <v>0.42259322988990361</v>
      </c>
      <c r="R69">
        <v>3.29</v>
      </c>
      <c r="S69">
        <v>0.4</v>
      </c>
    </row>
    <row r="70" spans="8:19" x14ac:dyDescent="0.15">
      <c r="R70">
        <v>1.61</v>
      </c>
      <c r="S70">
        <v>0.48</v>
      </c>
    </row>
    <row r="71" spans="8:19" x14ac:dyDescent="0.15">
      <c r="R71">
        <v>1.97</v>
      </c>
      <c r="S71">
        <v>0.32</v>
      </c>
    </row>
    <row r="72" spans="8:19" x14ac:dyDescent="0.15">
      <c r="R72">
        <v>1.44</v>
      </c>
      <c r="S72">
        <v>0.51</v>
      </c>
    </row>
    <row r="73" spans="8:19" x14ac:dyDescent="0.15">
      <c r="R73">
        <v>0.75</v>
      </c>
      <c r="S73">
        <v>0.55000000000000004</v>
      </c>
    </row>
    <row r="74" spans="8:19" x14ac:dyDescent="0.15">
      <c r="R74">
        <v>1.1200000000000001</v>
      </c>
      <c r="S74">
        <v>0.28000000000000003</v>
      </c>
    </row>
    <row r="75" spans="8:19" x14ac:dyDescent="0.15">
      <c r="R75">
        <v>2.48</v>
      </c>
      <c r="S75">
        <v>0.37</v>
      </c>
    </row>
    <row r="76" spans="8:19" x14ac:dyDescent="0.15">
      <c r="R76">
        <v>3.79</v>
      </c>
      <c r="S76">
        <v>0.36</v>
      </c>
    </row>
    <row r="77" spans="8:19" x14ac:dyDescent="0.15">
      <c r="R77">
        <v>1.23</v>
      </c>
      <c r="S77">
        <v>0.72</v>
      </c>
    </row>
    <row r="78" spans="8:19" x14ac:dyDescent="0.15">
      <c r="S78">
        <v>0.43</v>
      </c>
    </row>
    <row r="81" spans="17:19" x14ac:dyDescent="0.15">
      <c r="Q81" t="s">
        <v>73</v>
      </c>
      <c r="R81">
        <f>AVERAGE(R58:R77)</f>
        <v>2.3604999999999992</v>
      </c>
      <c r="S81">
        <f>AVERAGE(S58:S78)</f>
        <v>0.48523809523809519</v>
      </c>
    </row>
    <row r="82" spans="17:19" x14ac:dyDescent="0.15">
      <c r="Q82" t="s">
        <v>154</v>
      </c>
      <c r="R82">
        <f>R81-S81</f>
        <v>1.8752619047619039</v>
      </c>
    </row>
    <row r="83" spans="17:19" x14ac:dyDescent="0.15">
      <c r="Q83" t="s">
        <v>58</v>
      </c>
      <c r="R83">
        <f>_xlfn.VAR.S(R58:R77)</f>
        <v>1.4559207894736883</v>
      </c>
      <c r="S83">
        <f>_xlfn.VAR.S(S58:S78)</f>
        <v>2.4616190476190479E-2</v>
      </c>
    </row>
    <row r="85" spans="17:19" x14ac:dyDescent="0.15">
      <c r="Q85" t="s">
        <v>152</v>
      </c>
      <c r="R85">
        <f>(R83/COUNT(R58:R77)+S83/COUNT(S58:S78))^2</f>
        <v>5.4713003837449517E-3</v>
      </c>
      <c r="S85" t="str" cm="1">
        <f t="array" aca="1" ref="S85:S92" ca="1">IFERROR(_xlfn.FORMULATEXT(R85:R92),"")</f>
        <v>=(R83/COUNT(R58:R77)+S83/COUNT(S58:S78))^2</v>
      </c>
    </row>
    <row r="86" spans="17:19" x14ac:dyDescent="0.15">
      <c r="Q86" t="s">
        <v>153</v>
      </c>
      <c r="R86">
        <f>((R83/COUNT(R58:R77))^2/(COUNT(R58:R77)-1))+((S83/COUNT(S58:S78))^2/(COUNT(S58:S78)-1))</f>
        <v>2.7897730064432429E-4</v>
      </c>
      <c r="S86" t="str">
        <f ca="1"/>
        <v>=((R83/COUNT(R58:R77))^2/(COUNT(R58:R77)-1))+((S83/COUNT(S58:S78))^2/(COUNT(S58:S78)-1))</v>
      </c>
    </row>
    <row r="87" spans="17:19" x14ac:dyDescent="0.15">
      <c r="Q87" t="s">
        <v>149</v>
      </c>
      <c r="R87">
        <f>R85/R86</f>
        <v>19.611991266344859</v>
      </c>
      <c r="S87" t="str">
        <f ca="1"/>
        <v>=R85/R86</v>
      </c>
    </row>
    <row r="88" spans="17:19" x14ac:dyDescent="0.15">
      <c r="Q88" t="s">
        <v>155</v>
      </c>
      <c r="R88">
        <f>_xlfn.T.INV.2T(0.05,ROUNDUP(R87,2))</f>
        <v>2.0930240544083096</v>
      </c>
      <c r="S88" t="str">
        <f ca="1"/>
        <v>=T.INV.2T(0.05,ROUNDUP(R87,2))</v>
      </c>
    </row>
    <row r="89" spans="17:19" x14ac:dyDescent="0.15">
      <c r="Q89" t="s">
        <v>157</v>
      </c>
      <c r="R89">
        <f>R88*SQRT(R83/COUNT(R58:R77)+S83/COUNT(S58:S78))</f>
        <v>0.56924189966123651</v>
      </c>
      <c r="S89" t="str">
        <f ca="1"/>
        <v>=R88*SQRT(R83/COUNT(R58:R77)+S83/COUNT(S58:S78))</v>
      </c>
    </row>
    <row r="90" spans="17:19" x14ac:dyDescent="0.15">
      <c r="S90" t="str">
        <f ca="1"/>
        <v/>
      </c>
    </row>
    <row r="91" spans="17:19" x14ac:dyDescent="0.15">
      <c r="Q91" t="s">
        <v>156</v>
      </c>
      <c r="R91">
        <f>R82-R89</f>
        <v>1.3060200051006674</v>
      </c>
      <c r="S91" t="str">
        <f ca="1"/>
        <v>=R82-R89</v>
      </c>
    </row>
    <row r="92" spans="17:19" x14ac:dyDescent="0.15">
      <c r="Q92" t="s">
        <v>158</v>
      </c>
      <c r="R92">
        <f>R82+R89</f>
        <v>2.4445038044231406</v>
      </c>
      <c r="S92" t="str">
        <f ca="1"/>
        <v>=R82+R89</v>
      </c>
    </row>
    <row r="94" spans="17:19" x14ac:dyDescent="0.15">
      <c r="Q94" t="s">
        <v>159</v>
      </c>
      <c r="R94">
        <f>R83/S83</f>
        <v>59.144845782774503</v>
      </c>
    </row>
    <row r="96" spans="17:19" x14ac:dyDescent="0.15">
      <c r="Q96" t="s">
        <v>160</v>
      </c>
      <c r="R96">
        <f>_xlfn.F.DIST(R94,COUNT(R58:R77)-1,COUNT(S58:S78)-1,TRUE)</f>
        <v>0.99999999999985056</v>
      </c>
    </row>
    <row r="97" spans="17:18" x14ac:dyDescent="0.15">
      <c r="Q97" t="s">
        <v>142</v>
      </c>
      <c r="R97">
        <f>_xlfn.F.DIST.RT(R94,COUNT(R58:R77)-1,COUNT(S58:S78)-1)</f>
        <v>1.4939712910426359E-13</v>
      </c>
    </row>
    <row r="98" spans="17:18" x14ac:dyDescent="0.15">
      <c r="Q98" t="s">
        <v>83</v>
      </c>
      <c r="R98">
        <f>2*MIN(R96:R97)</f>
        <v>2.9879425820852717E-13</v>
      </c>
    </row>
    <row r="101" spans="17:18" x14ac:dyDescent="0.15">
      <c r="Q101">
        <f>_xlfn.T.DIST.RT(6.92,20)</f>
        <v>5.0735116565726219E-7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90D6-61AD-40EA-BB5D-00FD2227E2B9}">
  <dimension ref="A2:S70"/>
  <sheetViews>
    <sheetView topLeftCell="A26" zoomScale="130" zoomScaleNormal="130" workbookViewId="0">
      <selection activeCell="S72" sqref="S72"/>
    </sheetView>
  </sheetViews>
  <sheetFormatPr defaultRowHeight="14.25" x14ac:dyDescent="0.15"/>
  <cols>
    <col min="1" max="1" width="15.125" bestFit="1" customWidth="1"/>
    <col min="4" max="4" width="12.5" bestFit="1" customWidth="1"/>
    <col min="5" max="5" width="7.375" bestFit="1" customWidth="1"/>
    <col min="17" max="17" width="26.25" bestFit="1" customWidth="1"/>
    <col min="18" max="18" width="12.5" bestFit="1" customWidth="1"/>
  </cols>
  <sheetData>
    <row r="2" spans="1:16" x14ac:dyDescent="0.15">
      <c r="B2">
        <f>_xlfn.NORM.DIST(1.45,3.5,0.7,TRUE)</f>
        <v>1.7026179106473804E-3</v>
      </c>
    </row>
    <row r="3" spans="1:16" ht="15" thickBot="1" x14ac:dyDescent="0.2">
      <c r="B3">
        <f>_xlfn.NORM.DIST(1.95,3.5,0.7,TRUE)</f>
        <v>1.3404565357797918E-2</v>
      </c>
      <c r="D3">
        <f>B3-B2</f>
        <v>1.1701947447150538E-2</v>
      </c>
    </row>
    <row r="4" spans="1:16" x14ac:dyDescent="0.15">
      <c r="A4" s="38"/>
      <c r="B4" s="38"/>
      <c r="C4" s="38" t="s">
        <v>57</v>
      </c>
      <c r="D4" s="38">
        <v>3.5</v>
      </c>
      <c r="E4" s="38"/>
      <c r="I4" s="40" t="s">
        <v>167</v>
      </c>
      <c r="J4" s="40" t="s">
        <v>169</v>
      </c>
      <c r="K4" s="40" t="s">
        <v>170</v>
      </c>
      <c r="L4" s="40" t="s">
        <v>173</v>
      </c>
      <c r="M4" s="40" t="s">
        <v>168</v>
      </c>
      <c r="N4" s="40" t="s">
        <v>171</v>
      </c>
      <c r="O4" s="40" t="s">
        <v>170</v>
      </c>
      <c r="P4" s="40" t="s">
        <v>172</v>
      </c>
    </row>
    <row r="5" spans="1:16" x14ac:dyDescent="0.15">
      <c r="A5" s="38"/>
      <c r="B5" s="38"/>
      <c r="C5" s="38" t="s">
        <v>53</v>
      </c>
      <c r="D5" s="38">
        <v>0.7</v>
      </c>
      <c r="E5" s="38"/>
      <c r="I5">
        <v>88</v>
      </c>
      <c r="J5" cm="1">
        <f t="array" ref="J5:J24">_xlfn.RANK.AVG(I5:I24,I5:I24,1)</f>
        <v>17.5</v>
      </c>
      <c r="K5" cm="1">
        <f t="array" ref="K5:K24">(_xlfn.ANCHORARRAY(J5)-0.5)/COUNT(_xlfn.ANCHORARRAY(J5))</f>
        <v>0.85</v>
      </c>
      <c r="L5" cm="1">
        <f t="array" ref="L5:L24">_xlfn.NORM.S.INV(_xlfn.ANCHORARRAY(K5))</f>
        <v>1.0364333894937898</v>
      </c>
      <c r="M5">
        <v>75</v>
      </c>
      <c r="N5" cm="1">
        <f t="array" ref="N5:N24">_xlfn.RANK.EQ(M5:M24,M5:M24,1)</f>
        <v>1</v>
      </c>
      <c r="O5" cm="1">
        <f t="array" ref="O5:O24">(_xlfn.ANCHORARRAY(N5)-0.5)/COUNT(_xlfn.ANCHORARRAY(N5))</f>
        <v>2.5000000000000001E-2</v>
      </c>
      <c r="P5" cm="1">
        <f t="array" ref="P5:P24">_xlfn.NORM.S.INV(_xlfn.ANCHORARRAY(O5))</f>
        <v>-1.9599639845400538</v>
      </c>
    </row>
    <row r="6" spans="1:16" x14ac:dyDescent="0.15">
      <c r="A6" s="39" t="s">
        <v>161</v>
      </c>
      <c r="B6" s="39" t="s">
        <v>156</v>
      </c>
      <c r="C6" s="39" t="s">
        <v>158</v>
      </c>
      <c r="D6" s="39" t="s">
        <v>162</v>
      </c>
      <c r="E6" s="39" t="s">
        <v>163</v>
      </c>
      <c r="I6">
        <v>79</v>
      </c>
      <c r="J6">
        <v>2.5</v>
      </c>
      <c r="K6">
        <v>0.1</v>
      </c>
      <c r="L6">
        <v>-1.2815515655446006</v>
      </c>
      <c r="M6">
        <v>77</v>
      </c>
      <c r="N6">
        <v>4</v>
      </c>
      <c r="O6">
        <v>0.17499999999999999</v>
      </c>
      <c r="P6">
        <v>-0.93458929107347943</v>
      </c>
    </row>
    <row r="7" spans="1:16" x14ac:dyDescent="0.15">
      <c r="A7" t="str">
        <f>_xlfn.CONCAT(B7," &lt;=X&lt;= ",C7)</f>
        <v>1.45 &lt;=X&lt;= 1.95</v>
      </c>
      <c r="B7">
        <v>1.45</v>
      </c>
      <c r="C7">
        <v>1.95</v>
      </c>
      <c r="D7">
        <v>2</v>
      </c>
      <c r="E7" cm="1">
        <f t="array" ref="E7:E13">ROUND((_xlfn.NORM.DIST(C7:C13,$D$4,$D$5,TRUE)-_xlfn.NORM.DIST(B7:B13,$D$4,$D$5,TRUE))*SUM(D7:D13),1)</f>
        <v>0.5</v>
      </c>
      <c r="I7">
        <v>84</v>
      </c>
      <c r="J7">
        <v>12</v>
      </c>
      <c r="K7">
        <v>0.57499999999999996</v>
      </c>
      <c r="L7">
        <v>0.18911842627279243</v>
      </c>
      <c r="M7">
        <v>86</v>
      </c>
      <c r="N7">
        <v>20</v>
      </c>
      <c r="O7">
        <v>0.97499999999999998</v>
      </c>
      <c r="P7">
        <v>1.9599639845400536</v>
      </c>
    </row>
    <row r="8" spans="1:16" x14ac:dyDescent="0.15">
      <c r="A8" t="str">
        <f t="shared" ref="A8:A13" si="0">_xlfn.CONCAT(B8," &lt;=X&lt;= ",C8)</f>
        <v>1.95 &lt;=X&lt;= 2.45</v>
      </c>
      <c r="B8">
        <v>1.95</v>
      </c>
      <c r="C8">
        <v>2.4500000000000002</v>
      </c>
      <c r="D8">
        <v>1</v>
      </c>
      <c r="E8">
        <v>2.1</v>
      </c>
      <c r="I8">
        <v>89</v>
      </c>
      <c r="J8">
        <v>19</v>
      </c>
      <c r="K8">
        <v>0.92500000000000004</v>
      </c>
      <c r="L8">
        <v>1.4395314709384563</v>
      </c>
      <c r="M8">
        <v>84</v>
      </c>
      <c r="N8">
        <v>18</v>
      </c>
      <c r="O8">
        <v>0.875</v>
      </c>
      <c r="P8">
        <v>1.1503493803760083</v>
      </c>
    </row>
    <row r="9" spans="1:16" x14ac:dyDescent="0.15">
      <c r="A9" t="str">
        <f t="shared" si="0"/>
        <v>2.45 &lt;=X&lt;= 2.95</v>
      </c>
      <c r="B9">
        <v>2.4500000000000002</v>
      </c>
      <c r="C9">
        <v>2.95</v>
      </c>
      <c r="D9">
        <v>4</v>
      </c>
      <c r="E9">
        <v>6</v>
      </c>
      <c r="I9">
        <v>81</v>
      </c>
      <c r="J9">
        <v>6.5</v>
      </c>
      <c r="K9">
        <v>0.3</v>
      </c>
      <c r="L9">
        <v>-0.52440051270804089</v>
      </c>
      <c r="M9">
        <v>80</v>
      </c>
      <c r="N9">
        <v>11</v>
      </c>
      <c r="O9">
        <v>0.52500000000000002</v>
      </c>
      <c r="P9">
        <v>6.2706777943213846E-2</v>
      </c>
    </row>
    <row r="10" spans="1:16" x14ac:dyDescent="0.15">
      <c r="A10" t="str">
        <f t="shared" si="0"/>
        <v>2.95 &lt;=X&lt;= 3.45</v>
      </c>
      <c r="B10">
        <v>2.95</v>
      </c>
      <c r="C10">
        <v>3.45</v>
      </c>
      <c r="D10">
        <v>15</v>
      </c>
      <c r="E10">
        <v>10.199999999999999</v>
      </c>
      <c r="I10">
        <v>83</v>
      </c>
      <c r="J10">
        <v>10.5</v>
      </c>
      <c r="K10">
        <v>0.5</v>
      </c>
      <c r="L10">
        <v>0</v>
      </c>
      <c r="M10">
        <v>76</v>
      </c>
      <c r="N10">
        <v>2</v>
      </c>
      <c r="O10">
        <v>7.4999999999999997E-2</v>
      </c>
      <c r="P10">
        <v>-1.4395314709384572</v>
      </c>
    </row>
    <row r="11" spans="1:16" x14ac:dyDescent="0.15">
      <c r="A11" t="str">
        <f t="shared" si="0"/>
        <v>3.45 &lt;=X&lt;= 3.95</v>
      </c>
      <c r="B11">
        <v>3.45</v>
      </c>
      <c r="C11">
        <v>3.95</v>
      </c>
      <c r="D11">
        <v>10</v>
      </c>
      <c r="E11">
        <v>10.7</v>
      </c>
      <c r="I11">
        <v>82</v>
      </c>
      <c r="J11">
        <v>8.5</v>
      </c>
      <c r="K11">
        <v>0.4</v>
      </c>
      <c r="L11">
        <v>-0.25334710313579978</v>
      </c>
      <c r="M11">
        <v>85</v>
      </c>
      <c r="N11">
        <v>19</v>
      </c>
      <c r="O11">
        <v>0.92500000000000004</v>
      </c>
      <c r="P11">
        <v>1.4395314709384563</v>
      </c>
    </row>
    <row r="12" spans="1:16" x14ac:dyDescent="0.15">
      <c r="A12" t="str">
        <f t="shared" si="0"/>
        <v>3.95 &lt;=X&lt;= 4.45</v>
      </c>
      <c r="B12">
        <v>3.95</v>
      </c>
      <c r="C12">
        <v>4.45</v>
      </c>
      <c r="D12">
        <v>5</v>
      </c>
      <c r="E12">
        <v>6.9</v>
      </c>
      <c r="I12">
        <v>79</v>
      </c>
      <c r="J12">
        <v>2.5</v>
      </c>
      <c r="K12">
        <v>0.1</v>
      </c>
      <c r="L12">
        <v>-1.2815515655446006</v>
      </c>
      <c r="M12">
        <v>79</v>
      </c>
      <c r="N12">
        <v>10</v>
      </c>
      <c r="O12">
        <v>0.47499999999999998</v>
      </c>
      <c r="P12">
        <v>-6.2706777943213846E-2</v>
      </c>
    </row>
    <row r="13" spans="1:16" x14ac:dyDescent="0.15">
      <c r="A13" t="str">
        <f t="shared" si="0"/>
        <v>4.45 &lt;=X&lt;= 4.95</v>
      </c>
      <c r="B13">
        <v>4.45</v>
      </c>
      <c r="C13">
        <v>4.95</v>
      </c>
      <c r="D13">
        <v>3</v>
      </c>
      <c r="E13">
        <v>2.7</v>
      </c>
      <c r="I13">
        <v>82</v>
      </c>
      <c r="J13">
        <v>8.5</v>
      </c>
      <c r="K13">
        <v>0.4</v>
      </c>
      <c r="L13">
        <v>-0.25334710313579978</v>
      </c>
      <c r="M13">
        <v>80</v>
      </c>
      <c r="N13">
        <v>11</v>
      </c>
      <c r="O13">
        <v>0.52500000000000002</v>
      </c>
      <c r="P13">
        <v>6.2706777943213846E-2</v>
      </c>
    </row>
    <row r="14" spans="1:16" x14ac:dyDescent="0.15">
      <c r="I14">
        <v>85</v>
      </c>
      <c r="J14">
        <v>13.5</v>
      </c>
      <c r="K14">
        <v>0.65</v>
      </c>
      <c r="L14">
        <v>0.38532046640756784</v>
      </c>
      <c r="M14">
        <v>78</v>
      </c>
      <c r="N14">
        <v>6</v>
      </c>
      <c r="O14">
        <v>0.27500000000000002</v>
      </c>
      <c r="P14">
        <v>-0.59776012604247841</v>
      </c>
    </row>
    <row r="15" spans="1:16" x14ac:dyDescent="0.15">
      <c r="I15">
        <v>88</v>
      </c>
      <c r="J15">
        <v>17.5</v>
      </c>
      <c r="K15">
        <v>0.85</v>
      </c>
      <c r="L15">
        <v>1.0364333894937898</v>
      </c>
      <c r="M15">
        <v>83</v>
      </c>
      <c r="N15">
        <v>17</v>
      </c>
      <c r="O15">
        <v>0.82499999999999996</v>
      </c>
      <c r="P15">
        <v>0.9345892910734801</v>
      </c>
    </row>
    <row r="16" spans="1:16" x14ac:dyDescent="0.15">
      <c r="B16" t="s">
        <v>164</v>
      </c>
      <c r="I16">
        <v>80</v>
      </c>
      <c r="J16">
        <v>4.5</v>
      </c>
      <c r="K16">
        <v>0.2</v>
      </c>
      <c r="L16">
        <v>-0.84162123357291452</v>
      </c>
      <c r="M16">
        <v>76</v>
      </c>
      <c r="N16">
        <v>2</v>
      </c>
      <c r="O16">
        <v>7.4999999999999997E-2</v>
      </c>
      <c r="P16">
        <v>-1.4395314709384572</v>
      </c>
    </row>
    <row r="17" spans="2:19" x14ac:dyDescent="0.15">
      <c r="D17" t="s">
        <v>166</v>
      </c>
      <c r="I17">
        <v>85</v>
      </c>
      <c r="J17">
        <v>13.5</v>
      </c>
      <c r="K17">
        <v>0.65</v>
      </c>
      <c r="L17">
        <v>0.38532046640756784</v>
      </c>
      <c r="M17">
        <v>81</v>
      </c>
      <c r="N17">
        <v>14</v>
      </c>
      <c r="O17">
        <v>0.67500000000000004</v>
      </c>
      <c r="P17">
        <v>0.45376219016987968</v>
      </c>
    </row>
    <row r="18" spans="2:19" x14ac:dyDescent="0.15">
      <c r="B18">
        <v>7</v>
      </c>
      <c r="C18">
        <v>8.6</v>
      </c>
      <c r="D18" cm="1">
        <f t="array" ref="D18:D21">(C18:C21-B18:B21)^2/C18:C21</f>
        <v>0.29767441860465105</v>
      </c>
      <c r="I18">
        <v>87</v>
      </c>
      <c r="J18">
        <v>15.5</v>
      </c>
      <c r="K18">
        <v>0.75</v>
      </c>
      <c r="L18">
        <v>0.67448975019608193</v>
      </c>
      <c r="M18">
        <v>78</v>
      </c>
      <c r="N18">
        <v>6</v>
      </c>
      <c r="O18">
        <v>0.27500000000000002</v>
      </c>
      <c r="P18">
        <v>-0.59776012604247841</v>
      </c>
    </row>
    <row r="19" spans="2:19" x14ac:dyDescent="0.15">
      <c r="B19">
        <v>15</v>
      </c>
      <c r="C19">
        <v>10.199999999999999</v>
      </c>
      <c r="D19">
        <v>2.2588235294117656</v>
      </c>
      <c r="I19">
        <v>80</v>
      </c>
      <c r="J19">
        <v>4.5</v>
      </c>
      <c r="K19">
        <v>0.2</v>
      </c>
      <c r="L19">
        <v>-0.84162123357291452</v>
      </c>
      <c r="M19">
        <v>78</v>
      </c>
      <c r="N19">
        <v>6</v>
      </c>
      <c r="O19">
        <v>0.27500000000000002</v>
      </c>
      <c r="P19">
        <v>-0.59776012604247841</v>
      </c>
    </row>
    <row r="20" spans="2:19" x14ac:dyDescent="0.15">
      <c r="B20">
        <v>10</v>
      </c>
      <c r="C20">
        <v>10.7</v>
      </c>
      <c r="D20">
        <v>4.5794392523364397E-2</v>
      </c>
      <c r="I20">
        <v>78</v>
      </c>
      <c r="J20">
        <v>1</v>
      </c>
      <c r="K20">
        <v>2.5000000000000001E-2</v>
      </c>
      <c r="L20">
        <v>-1.9599639845400538</v>
      </c>
      <c r="M20">
        <v>82</v>
      </c>
      <c r="N20">
        <v>16</v>
      </c>
      <c r="O20">
        <v>0.77500000000000002</v>
      </c>
      <c r="P20">
        <v>0.75541502636046909</v>
      </c>
    </row>
    <row r="21" spans="2:19" x14ac:dyDescent="0.15">
      <c r="B21">
        <v>8</v>
      </c>
      <c r="C21">
        <v>9.6</v>
      </c>
      <c r="D21">
        <v>0.26666666666666655</v>
      </c>
      <c r="I21">
        <v>87</v>
      </c>
      <c r="J21">
        <v>15.5</v>
      </c>
      <c r="K21">
        <v>0.75</v>
      </c>
      <c r="L21">
        <v>0.67448975019608193</v>
      </c>
      <c r="M21">
        <v>80</v>
      </c>
      <c r="N21">
        <v>11</v>
      </c>
      <c r="O21">
        <v>0.52500000000000002</v>
      </c>
      <c r="P21">
        <v>6.2706777943213846E-2</v>
      </c>
    </row>
    <row r="22" spans="2:19" x14ac:dyDescent="0.15">
      <c r="I22">
        <v>90</v>
      </c>
      <c r="J22">
        <v>20</v>
      </c>
      <c r="K22">
        <v>0.97499999999999998</v>
      </c>
      <c r="L22">
        <v>1.9599639845400536</v>
      </c>
      <c r="M22">
        <v>81</v>
      </c>
      <c r="N22">
        <v>14</v>
      </c>
      <c r="O22">
        <v>0.67500000000000004</v>
      </c>
      <c r="P22">
        <v>0.45376219016987968</v>
      </c>
    </row>
    <row r="23" spans="2:19" ht="16.5" x14ac:dyDescent="0.15">
      <c r="C23" t="s">
        <v>165</v>
      </c>
      <c r="D23">
        <f>ROUND(SUM(_xlfn.ANCHORARRAY(D18)),1)</f>
        <v>2.9</v>
      </c>
      <c r="I23">
        <v>83</v>
      </c>
      <c r="J23">
        <v>10.5</v>
      </c>
      <c r="K23">
        <v>0.5</v>
      </c>
      <c r="L23">
        <v>0</v>
      </c>
      <c r="M23">
        <v>77</v>
      </c>
      <c r="N23">
        <v>4</v>
      </c>
      <c r="O23">
        <v>0.17499999999999999</v>
      </c>
      <c r="P23">
        <v>-0.93458929107347943</v>
      </c>
    </row>
    <row r="24" spans="2:19" ht="15" thickBot="1" x14ac:dyDescent="0.2">
      <c r="I24" s="16">
        <v>81</v>
      </c>
      <c r="J24" s="16">
        <v>6.5</v>
      </c>
      <c r="K24" s="16">
        <v>0.3</v>
      </c>
      <c r="L24" s="16">
        <v>-0.52440051270804089</v>
      </c>
      <c r="M24" s="16">
        <v>78</v>
      </c>
      <c r="N24" s="16">
        <v>6</v>
      </c>
      <c r="O24" s="16">
        <v>0.27500000000000002</v>
      </c>
      <c r="P24" s="16">
        <v>-0.59776012604247841</v>
      </c>
    </row>
    <row r="25" spans="2:19" x14ac:dyDescent="0.15">
      <c r="D25">
        <f>_xlfn.CHISQ.DIST(D23,COUNT(C18:C21)-1,TRUE)</f>
        <v>0.59269843296405211</v>
      </c>
    </row>
    <row r="27" spans="2:19" x14ac:dyDescent="0.15">
      <c r="Q27" t="s">
        <v>127</v>
      </c>
    </row>
    <row r="28" spans="2:19" ht="15" thickBot="1" x14ac:dyDescent="0.2"/>
    <row r="29" spans="2:19" x14ac:dyDescent="0.15">
      <c r="Q29" s="17"/>
      <c r="R29" s="17" t="s">
        <v>167</v>
      </c>
      <c r="S29" s="17" t="s">
        <v>168</v>
      </c>
    </row>
    <row r="30" spans="2:19" x14ac:dyDescent="0.15">
      <c r="Q30" t="s">
        <v>57</v>
      </c>
      <c r="R30">
        <v>83.55</v>
      </c>
      <c r="S30">
        <v>79.7</v>
      </c>
    </row>
    <row r="31" spans="2:19" x14ac:dyDescent="0.15">
      <c r="Q31" t="s">
        <v>58</v>
      </c>
      <c r="R31">
        <v>13.418421052631585</v>
      </c>
      <c r="S31">
        <v>9.5894736842105299</v>
      </c>
    </row>
    <row r="32" spans="2:19" x14ac:dyDescent="0.15">
      <c r="Q32" t="s">
        <v>59</v>
      </c>
      <c r="R32">
        <v>20</v>
      </c>
      <c r="S32">
        <v>20</v>
      </c>
    </row>
    <row r="33" spans="17:19" x14ac:dyDescent="0.15">
      <c r="Q33" t="s">
        <v>62</v>
      </c>
      <c r="R33">
        <v>19</v>
      </c>
      <c r="S33">
        <v>19</v>
      </c>
    </row>
    <row r="34" spans="17:19" x14ac:dyDescent="0.15">
      <c r="Q34" t="s">
        <v>128</v>
      </c>
      <c r="R34">
        <v>1.3992864983534579</v>
      </c>
    </row>
    <row r="35" spans="17:19" x14ac:dyDescent="0.15">
      <c r="Q35" t="s">
        <v>129</v>
      </c>
      <c r="R35">
        <v>0.23546075811838374</v>
      </c>
    </row>
    <row r="36" spans="17:19" ht="15" thickBot="1" x14ac:dyDescent="0.2">
      <c r="Q36" s="16" t="s">
        <v>130</v>
      </c>
      <c r="R36" s="16">
        <v>2.1682516014062614</v>
      </c>
      <c r="S36" s="16"/>
    </row>
    <row r="38" spans="17:19" ht="18.75" x14ac:dyDescent="0.3">
      <c r="Q38" s="41" t="s">
        <v>177</v>
      </c>
      <c r="R38" t="s">
        <v>175</v>
      </c>
    </row>
    <row r="39" spans="17:19" ht="18.75" x14ac:dyDescent="0.3">
      <c r="Q39" s="41" t="s">
        <v>178</v>
      </c>
      <c r="R39" t="s">
        <v>176</v>
      </c>
    </row>
    <row r="40" spans="17:19" ht="15.75" x14ac:dyDescent="0.25">
      <c r="Q40" s="41" t="s">
        <v>174</v>
      </c>
      <c r="R40" s="4">
        <v>0.05</v>
      </c>
    </row>
    <row r="43" spans="17:19" x14ac:dyDescent="0.15">
      <c r="Q43">
        <f>_xlfn.F.TEST(I5:I24,M5:M24)</f>
        <v>0.47092151623676726</v>
      </c>
      <c r="R43" t="s">
        <v>83</v>
      </c>
    </row>
    <row r="44" spans="17:19" x14ac:dyDescent="0.15">
      <c r="Q44">
        <f>2*MIN(_xlfn.F.DIST(R34,R33,S33,TRUE),_xlfn.F.DIST.RT(R34,R33,S33))</f>
        <v>0.47092151623676748</v>
      </c>
      <c r="R44" t="s">
        <v>83</v>
      </c>
    </row>
    <row r="46" spans="17:19" x14ac:dyDescent="0.15">
      <c r="Q46" t="s">
        <v>179</v>
      </c>
    </row>
    <row r="49" spans="17:19" x14ac:dyDescent="0.15">
      <c r="Q49" t="s">
        <v>180</v>
      </c>
    </row>
    <row r="50" spans="17:19" ht="15" thickBot="1" x14ac:dyDescent="0.2"/>
    <row r="51" spans="17:19" x14ac:dyDescent="0.15">
      <c r="Q51" s="17"/>
      <c r="R51" s="17" t="s">
        <v>167</v>
      </c>
      <c r="S51" s="17" t="s">
        <v>168</v>
      </c>
    </row>
    <row r="52" spans="17:19" x14ac:dyDescent="0.15">
      <c r="Q52" t="s">
        <v>57</v>
      </c>
      <c r="R52">
        <v>83.55</v>
      </c>
      <c r="S52">
        <v>79.7</v>
      </c>
    </row>
    <row r="53" spans="17:19" x14ac:dyDescent="0.15">
      <c r="Q53" t="s">
        <v>58</v>
      </c>
      <c r="R53">
        <v>13.418421052631585</v>
      </c>
      <c r="S53">
        <v>9.5894736842105299</v>
      </c>
    </row>
    <row r="54" spans="17:19" x14ac:dyDescent="0.15">
      <c r="Q54" t="s">
        <v>59</v>
      </c>
      <c r="R54">
        <v>20</v>
      </c>
      <c r="S54">
        <v>20</v>
      </c>
    </row>
    <row r="55" spans="17:19" x14ac:dyDescent="0.15">
      <c r="Q55" t="s">
        <v>181</v>
      </c>
      <c r="R55">
        <v>11.503947368421057</v>
      </c>
    </row>
    <row r="56" spans="17:19" x14ac:dyDescent="0.15">
      <c r="Q56" t="s">
        <v>61</v>
      </c>
      <c r="R56">
        <v>0</v>
      </c>
    </row>
    <row r="57" spans="17:19" x14ac:dyDescent="0.15">
      <c r="Q57" t="s">
        <v>62</v>
      </c>
      <c r="R57">
        <v>38</v>
      </c>
    </row>
    <row r="58" spans="17:19" x14ac:dyDescent="0.15">
      <c r="Q58" t="s">
        <v>63</v>
      </c>
      <c r="R58">
        <v>3.5895275129483171</v>
      </c>
    </row>
    <row r="59" spans="17:19" x14ac:dyDescent="0.15">
      <c r="Q59" t="s">
        <v>64</v>
      </c>
      <c r="R59">
        <v>4.6710201615381044E-4</v>
      </c>
    </row>
    <row r="60" spans="17:19" x14ac:dyDescent="0.15">
      <c r="Q60" t="s">
        <v>65</v>
      </c>
      <c r="R60">
        <v>1.6859544601667387</v>
      </c>
    </row>
    <row r="61" spans="17:19" x14ac:dyDescent="0.15">
      <c r="Q61" t="s">
        <v>66</v>
      </c>
      <c r="R61">
        <v>9.3420403230762099E-4</v>
      </c>
    </row>
    <row r="62" spans="17:19" ht="15" thickBot="1" x14ac:dyDescent="0.2">
      <c r="Q62" s="16" t="s">
        <v>67</v>
      </c>
      <c r="R62" s="16">
        <v>2.0243941639119702</v>
      </c>
      <c r="S62" s="16"/>
    </row>
    <row r="64" spans="17:19" ht="18.75" x14ac:dyDescent="0.3">
      <c r="Q64" s="41" t="s">
        <v>177</v>
      </c>
      <c r="R64" t="s">
        <v>182</v>
      </c>
    </row>
    <row r="65" spans="17:18" ht="18.75" x14ac:dyDescent="0.3">
      <c r="Q65" s="41" t="s">
        <v>178</v>
      </c>
      <c r="R65" t="s">
        <v>183</v>
      </c>
    </row>
    <row r="66" spans="17:18" ht="15.75" x14ac:dyDescent="0.25">
      <c r="Q66" s="41" t="s">
        <v>174</v>
      </c>
      <c r="R66" s="4">
        <v>0.05</v>
      </c>
    </row>
    <row r="68" spans="17:18" x14ac:dyDescent="0.15">
      <c r="Q68">
        <v>9.3420403230762099E-4</v>
      </c>
      <c r="R68" t="s">
        <v>83</v>
      </c>
    </row>
    <row r="70" spans="17:18" x14ac:dyDescent="0.15">
      <c r="Q70" t="s">
        <v>184</v>
      </c>
    </row>
  </sheetData>
  <sortState xmlns:xlrd2="http://schemas.microsoft.com/office/spreadsheetml/2017/richdata2" ref="R5:U24">
    <sortCondition ref="T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5F98-6396-4BB9-A935-729C150A3EE8}">
  <dimension ref="A1:AU59"/>
  <sheetViews>
    <sheetView topLeftCell="F82" zoomScale="130" zoomScaleNormal="130" workbookViewId="0">
      <selection activeCell="X15" sqref="X15"/>
    </sheetView>
  </sheetViews>
  <sheetFormatPr defaultRowHeight="14.25" x14ac:dyDescent="0.15"/>
  <cols>
    <col min="1" max="1" width="9.625" customWidth="1"/>
    <col min="7" max="7" width="8.25" bestFit="1" customWidth="1"/>
    <col min="16" max="16" width="12.125" bestFit="1" customWidth="1"/>
    <col min="25" max="25" width="15" bestFit="1" customWidth="1"/>
    <col min="26" max="26" width="22.625" bestFit="1" customWidth="1"/>
    <col min="27" max="27" width="12.125" bestFit="1" customWidth="1"/>
    <col min="28" max="28" width="15" bestFit="1" customWidth="1"/>
    <col min="29" max="29" width="11.125" bestFit="1" customWidth="1"/>
    <col min="30" max="30" width="8.75" bestFit="1" customWidth="1"/>
    <col min="31" max="31" width="7.25" bestFit="1" customWidth="1"/>
    <col min="32" max="32" width="7.5" bestFit="1" customWidth="1"/>
  </cols>
  <sheetData>
    <row r="1" spans="1:32" ht="15" thickBot="1" x14ac:dyDescent="0.2"/>
    <row r="2" spans="1:32" ht="15.75" x14ac:dyDescent="0.25">
      <c r="A2" s="46" t="s">
        <v>107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P2" s="32" t="s">
        <v>116</v>
      </c>
      <c r="Q2" s="32">
        <v>0.32520799999999994</v>
      </c>
      <c r="R2" s="32" t="s">
        <v>119</v>
      </c>
      <c r="S2" s="28">
        <v>0.57699999999999996</v>
      </c>
      <c r="T2" s="32" t="s">
        <v>121</v>
      </c>
      <c r="U2" s="29">
        <v>2.1139999999999999</v>
      </c>
    </row>
    <row r="3" spans="1:32" ht="30" customHeight="1" thickBot="1" x14ac:dyDescent="0.35">
      <c r="A3" s="22" t="s">
        <v>0</v>
      </c>
      <c r="B3" s="18" t="s">
        <v>110</v>
      </c>
      <c r="C3" s="18" t="s">
        <v>111</v>
      </c>
      <c r="D3" s="18" t="s">
        <v>112</v>
      </c>
      <c r="E3" s="18" t="s">
        <v>113</v>
      </c>
      <c r="F3" s="18" t="s">
        <v>114</v>
      </c>
      <c r="G3" s="23" t="s">
        <v>108</v>
      </c>
      <c r="H3" s="18" t="s">
        <v>109</v>
      </c>
      <c r="I3" s="18" t="s">
        <v>57</v>
      </c>
      <c r="J3" s="18" t="s">
        <v>124</v>
      </c>
      <c r="K3" s="18" t="s">
        <v>117</v>
      </c>
      <c r="L3" s="18" t="s">
        <v>118</v>
      </c>
      <c r="M3" s="18" t="s">
        <v>122</v>
      </c>
      <c r="N3" s="18" t="s">
        <v>123</v>
      </c>
      <c r="P3" s="33" t="s">
        <v>115</v>
      </c>
      <c r="Q3" s="33">
        <v>1.5056104000000006</v>
      </c>
      <c r="R3" s="33" t="s">
        <v>120</v>
      </c>
      <c r="S3" s="30"/>
      <c r="T3" s="33"/>
      <c r="U3" s="31"/>
    </row>
    <row r="4" spans="1:32" x14ac:dyDescent="0.15">
      <c r="A4">
        <v>1</v>
      </c>
      <c r="B4">
        <v>1.3234999999999999</v>
      </c>
      <c r="C4">
        <v>1.4128000000000001</v>
      </c>
      <c r="D4">
        <v>1.6744000000000001</v>
      </c>
      <c r="E4">
        <v>1.4573</v>
      </c>
      <c r="F4">
        <v>1.6914</v>
      </c>
      <c r="G4">
        <f>AVERAGE(Table2[[#This Row],[1]:[5]])</f>
        <v>1.5118800000000001</v>
      </c>
      <c r="H4">
        <f>MAX(Table2[[#This Row],[1]:[5]])-MIN(Table2[[#This Row],[1]:[5]])</f>
        <v>0.36790000000000012</v>
      </c>
      <c r="I4">
        <f t="shared" ref="I4:I28" si="0">$Q$3</f>
        <v>1.5056104000000006</v>
      </c>
      <c r="J4">
        <f t="shared" ref="J4:J28" si="1">$Q$2</f>
        <v>0.32520799999999994</v>
      </c>
      <c r="K4">
        <f t="shared" ref="K4:K28" si="2">$Q$3+$S$2*$Q$2</f>
        <v>1.6932554160000004</v>
      </c>
      <c r="L4">
        <f t="shared" ref="L4:L28" si="3">$Q$3-$S$2*$Q$2</f>
        <v>1.3179653840000007</v>
      </c>
      <c r="M4">
        <f t="shared" ref="M4:M28" si="4">$U$2*$Q$2</f>
        <v>0.68748971199999986</v>
      </c>
      <c r="N4">
        <f>0</f>
        <v>0</v>
      </c>
    </row>
    <row r="5" spans="1:32" x14ac:dyDescent="0.15">
      <c r="A5">
        <v>2</v>
      </c>
      <c r="B5">
        <v>1.4314</v>
      </c>
      <c r="C5">
        <v>1.3592</v>
      </c>
      <c r="D5">
        <v>1.6074999999999999</v>
      </c>
      <c r="E5">
        <v>1.4665999999999999</v>
      </c>
      <c r="F5">
        <v>1.6109</v>
      </c>
      <c r="G5">
        <f>AVERAGE(Table2[[#This Row],[1]:[5]])</f>
        <v>1.4951199999999998</v>
      </c>
      <c r="H5">
        <f>MAX(Table2[[#This Row],[1]:[5]])-MIN(Table2[[#This Row],[1]:[5]])</f>
        <v>0.25170000000000003</v>
      </c>
      <c r="I5">
        <f t="shared" si="0"/>
        <v>1.5056104000000006</v>
      </c>
      <c r="J5">
        <f t="shared" si="1"/>
        <v>0.32520799999999994</v>
      </c>
      <c r="K5">
        <f t="shared" si="2"/>
        <v>1.6932554160000004</v>
      </c>
      <c r="L5">
        <f t="shared" si="3"/>
        <v>1.3179653840000007</v>
      </c>
      <c r="M5">
        <f t="shared" si="4"/>
        <v>0.68748971199999986</v>
      </c>
      <c r="N5">
        <f>0</f>
        <v>0</v>
      </c>
    </row>
    <row r="6" spans="1:32" x14ac:dyDescent="0.15">
      <c r="A6">
        <v>3</v>
      </c>
      <c r="B6">
        <v>1.4283999999999999</v>
      </c>
      <c r="C6">
        <v>1.4871000000000001</v>
      </c>
      <c r="D6">
        <v>1.4932000000000001</v>
      </c>
      <c r="E6">
        <v>1.4323999999999999</v>
      </c>
      <c r="F6">
        <v>1.5673999999999999</v>
      </c>
      <c r="G6">
        <f>AVERAGE(Table2[[#This Row],[1]:[5]])</f>
        <v>1.4816999999999998</v>
      </c>
      <c r="H6">
        <f>MAX(Table2[[#This Row],[1]:[5]])-MIN(Table2[[#This Row],[1]:[5]])</f>
        <v>0.13900000000000001</v>
      </c>
      <c r="I6">
        <f t="shared" si="0"/>
        <v>1.5056104000000006</v>
      </c>
      <c r="J6">
        <f t="shared" si="1"/>
        <v>0.32520799999999994</v>
      </c>
      <c r="K6">
        <f t="shared" si="2"/>
        <v>1.6932554160000004</v>
      </c>
      <c r="L6">
        <f t="shared" si="3"/>
        <v>1.3179653840000007</v>
      </c>
      <c r="M6">
        <f t="shared" si="4"/>
        <v>0.68748971199999986</v>
      </c>
      <c r="N6">
        <f>0</f>
        <v>0</v>
      </c>
    </row>
    <row r="7" spans="1:32" x14ac:dyDescent="0.15">
      <c r="A7">
        <v>4</v>
      </c>
      <c r="B7">
        <v>1.5027999999999999</v>
      </c>
      <c r="C7">
        <v>1.6352</v>
      </c>
      <c r="D7">
        <v>1.3841000000000001</v>
      </c>
      <c r="E7">
        <v>1.2830999999999999</v>
      </c>
      <c r="F7">
        <v>1.5507</v>
      </c>
      <c r="G7">
        <f>AVERAGE(Table2[[#This Row],[1]:[5]])</f>
        <v>1.4711799999999999</v>
      </c>
      <c r="H7">
        <f>MAX(Table2[[#This Row],[1]:[5]])-MIN(Table2[[#This Row],[1]:[5]])</f>
        <v>0.35210000000000008</v>
      </c>
      <c r="I7">
        <f t="shared" si="0"/>
        <v>1.5056104000000006</v>
      </c>
      <c r="J7">
        <f t="shared" si="1"/>
        <v>0.32520799999999994</v>
      </c>
      <c r="K7">
        <f t="shared" si="2"/>
        <v>1.6932554160000004</v>
      </c>
      <c r="L7">
        <f t="shared" si="3"/>
        <v>1.3179653840000007</v>
      </c>
      <c r="M7">
        <f t="shared" si="4"/>
        <v>0.68748971199999986</v>
      </c>
      <c r="N7">
        <f>0</f>
        <v>0</v>
      </c>
    </row>
    <row r="8" spans="1:32" x14ac:dyDescent="0.15">
      <c r="A8">
        <v>5</v>
      </c>
      <c r="B8">
        <v>1.5604</v>
      </c>
      <c r="C8">
        <v>1.2735000000000001</v>
      </c>
      <c r="D8">
        <v>1.5265</v>
      </c>
      <c r="E8">
        <v>1.4362999999999999</v>
      </c>
      <c r="F8">
        <v>1.6440999999999999</v>
      </c>
      <c r="G8">
        <f>AVERAGE(Table2[[#This Row],[1]:[5]])</f>
        <v>1.4881600000000001</v>
      </c>
      <c r="H8">
        <f>MAX(Table2[[#This Row],[1]:[5]])-MIN(Table2[[#This Row],[1]:[5]])</f>
        <v>0.37059999999999982</v>
      </c>
      <c r="I8">
        <f t="shared" si="0"/>
        <v>1.5056104000000006</v>
      </c>
      <c r="J8">
        <f t="shared" si="1"/>
        <v>0.32520799999999994</v>
      </c>
      <c r="K8">
        <f t="shared" si="2"/>
        <v>1.6932554160000004</v>
      </c>
      <c r="L8">
        <f t="shared" si="3"/>
        <v>1.3179653840000007</v>
      </c>
      <c r="M8">
        <f t="shared" si="4"/>
        <v>0.68748971199999986</v>
      </c>
      <c r="N8">
        <f>0</f>
        <v>0</v>
      </c>
    </row>
    <row r="9" spans="1:32" x14ac:dyDescent="0.15">
      <c r="A9">
        <v>6</v>
      </c>
      <c r="B9">
        <v>1.5954999999999999</v>
      </c>
      <c r="C9">
        <v>1.5450999999999999</v>
      </c>
      <c r="D9">
        <v>1.3573999999999999</v>
      </c>
      <c r="E9">
        <v>1.3281000000000001</v>
      </c>
      <c r="F9">
        <v>1.4198</v>
      </c>
      <c r="G9">
        <f>AVERAGE(Table2[[#This Row],[1]:[5]])</f>
        <v>1.4491800000000001</v>
      </c>
      <c r="H9">
        <f>MAX(Table2[[#This Row],[1]:[5]])-MIN(Table2[[#This Row],[1]:[5]])</f>
        <v>0.26739999999999986</v>
      </c>
      <c r="I9">
        <f t="shared" si="0"/>
        <v>1.5056104000000006</v>
      </c>
      <c r="J9">
        <f t="shared" si="1"/>
        <v>0.32520799999999994</v>
      </c>
      <c r="K9">
        <f t="shared" si="2"/>
        <v>1.6932554160000004</v>
      </c>
      <c r="L9">
        <f t="shared" si="3"/>
        <v>1.3179653840000007</v>
      </c>
      <c r="M9">
        <f t="shared" si="4"/>
        <v>0.68748971199999986</v>
      </c>
      <c r="N9">
        <f>0</f>
        <v>0</v>
      </c>
    </row>
    <row r="10" spans="1:32" x14ac:dyDescent="0.15">
      <c r="A10">
        <v>7</v>
      </c>
      <c r="B10">
        <v>1.6274</v>
      </c>
      <c r="C10">
        <v>1.5064</v>
      </c>
      <c r="D10">
        <v>1.8366</v>
      </c>
      <c r="E10">
        <v>1.4177</v>
      </c>
      <c r="F10">
        <v>1.5144</v>
      </c>
      <c r="G10">
        <f>AVERAGE(Table2[[#This Row],[1]:[5]])</f>
        <v>1.5805</v>
      </c>
      <c r="H10">
        <f>MAX(Table2[[#This Row],[1]:[5]])-MIN(Table2[[#This Row],[1]:[5]])</f>
        <v>0.41890000000000005</v>
      </c>
      <c r="I10">
        <f t="shared" si="0"/>
        <v>1.5056104000000006</v>
      </c>
      <c r="J10">
        <f t="shared" si="1"/>
        <v>0.32520799999999994</v>
      </c>
      <c r="K10">
        <f t="shared" si="2"/>
        <v>1.6932554160000004</v>
      </c>
      <c r="L10">
        <f t="shared" si="3"/>
        <v>1.3179653840000007</v>
      </c>
      <c r="M10">
        <f t="shared" si="4"/>
        <v>0.68748971199999986</v>
      </c>
      <c r="N10">
        <f>0</f>
        <v>0</v>
      </c>
    </row>
    <row r="11" spans="1:32" x14ac:dyDescent="0.15">
      <c r="A11">
        <v>8</v>
      </c>
      <c r="B11">
        <v>1.419</v>
      </c>
      <c r="C11">
        <v>1.4302999999999999</v>
      </c>
      <c r="D11">
        <v>1.6637</v>
      </c>
      <c r="E11">
        <v>1.6067</v>
      </c>
      <c r="F11">
        <v>1.5519000000000001</v>
      </c>
      <c r="G11">
        <f>AVERAGE(Table2[[#This Row],[1]:[5]])</f>
        <v>1.5343199999999999</v>
      </c>
      <c r="H11">
        <f>MAX(Table2[[#This Row],[1]:[5]])-MIN(Table2[[#This Row],[1]:[5]])</f>
        <v>0.24469999999999992</v>
      </c>
      <c r="I11">
        <f t="shared" si="0"/>
        <v>1.5056104000000006</v>
      </c>
      <c r="J11">
        <f t="shared" si="1"/>
        <v>0.32520799999999994</v>
      </c>
      <c r="K11">
        <f t="shared" si="2"/>
        <v>1.6932554160000004</v>
      </c>
      <c r="L11">
        <f t="shared" si="3"/>
        <v>1.3179653840000007</v>
      </c>
      <c r="M11">
        <f t="shared" si="4"/>
        <v>0.68748971199999986</v>
      </c>
      <c r="N11">
        <f>0</f>
        <v>0</v>
      </c>
    </row>
    <row r="12" spans="1:32" x14ac:dyDescent="0.15">
      <c r="A12">
        <v>9</v>
      </c>
      <c r="B12">
        <v>1.3884000000000001</v>
      </c>
      <c r="C12">
        <v>1.7277</v>
      </c>
      <c r="D12">
        <v>1.5355000000000001</v>
      </c>
      <c r="E12">
        <v>1.5176000000000001</v>
      </c>
      <c r="F12">
        <v>1.3688</v>
      </c>
      <c r="G12">
        <f>AVERAGE(Table2[[#This Row],[1]:[5]])</f>
        <v>1.5076000000000001</v>
      </c>
      <c r="H12">
        <f>MAX(Table2[[#This Row],[1]:[5]])-MIN(Table2[[#This Row],[1]:[5]])</f>
        <v>0.3589</v>
      </c>
      <c r="I12">
        <f t="shared" si="0"/>
        <v>1.5056104000000006</v>
      </c>
      <c r="J12">
        <f t="shared" si="1"/>
        <v>0.32520799999999994</v>
      </c>
      <c r="K12">
        <f t="shared" si="2"/>
        <v>1.6932554160000004</v>
      </c>
      <c r="L12">
        <f t="shared" si="3"/>
        <v>1.3179653840000007</v>
      </c>
      <c r="M12">
        <f t="shared" si="4"/>
        <v>0.68748971199999986</v>
      </c>
      <c r="N12">
        <f>0</f>
        <v>0</v>
      </c>
    </row>
    <row r="13" spans="1:32" x14ac:dyDescent="0.15">
      <c r="A13">
        <v>10</v>
      </c>
      <c r="B13">
        <v>1.4038999999999999</v>
      </c>
      <c r="C13">
        <v>1.6697</v>
      </c>
      <c r="D13">
        <v>1.5088999999999999</v>
      </c>
      <c r="E13">
        <v>1.4626999999999999</v>
      </c>
      <c r="F13">
        <v>1.522</v>
      </c>
      <c r="G13">
        <f>AVERAGE(Table2[[#This Row],[1]:[5]])</f>
        <v>1.5134399999999999</v>
      </c>
      <c r="H13">
        <f>MAX(Table2[[#This Row],[1]:[5]])-MIN(Table2[[#This Row],[1]:[5]])</f>
        <v>0.26580000000000004</v>
      </c>
      <c r="I13">
        <f t="shared" si="0"/>
        <v>1.5056104000000006</v>
      </c>
      <c r="J13">
        <f t="shared" si="1"/>
        <v>0.32520799999999994</v>
      </c>
      <c r="K13">
        <f t="shared" si="2"/>
        <v>1.6932554160000004</v>
      </c>
      <c r="L13">
        <f t="shared" si="3"/>
        <v>1.3179653840000007</v>
      </c>
      <c r="M13">
        <f t="shared" si="4"/>
        <v>0.68748971199999986</v>
      </c>
      <c r="N13">
        <f>0</f>
        <v>0</v>
      </c>
      <c r="Y13" s="34"/>
      <c r="Z13" s="34"/>
      <c r="AA13" s="34"/>
      <c r="AB13" s="34"/>
      <c r="AC13" s="34"/>
      <c r="AD13" s="34"/>
      <c r="AE13" s="34"/>
      <c r="AF13" s="34"/>
    </row>
    <row r="14" spans="1:32" x14ac:dyDescent="0.15">
      <c r="A14">
        <v>11</v>
      </c>
      <c r="B14">
        <v>1.4157999999999999</v>
      </c>
      <c r="C14">
        <v>1.7666999999999999</v>
      </c>
      <c r="D14">
        <v>1.4278</v>
      </c>
      <c r="E14">
        <v>1.5928</v>
      </c>
      <c r="F14">
        <v>1.4180999999999999</v>
      </c>
      <c r="G14">
        <f>AVERAGE(Table2[[#This Row],[1]:[5]])</f>
        <v>1.5242400000000003</v>
      </c>
      <c r="H14">
        <f>MAX(Table2[[#This Row],[1]:[5]])-MIN(Table2[[#This Row],[1]:[5]])</f>
        <v>0.35089999999999999</v>
      </c>
      <c r="I14">
        <f t="shared" si="0"/>
        <v>1.5056104000000006</v>
      </c>
      <c r="J14">
        <f t="shared" si="1"/>
        <v>0.32520799999999994</v>
      </c>
      <c r="K14">
        <f t="shared" si="2"/>
        <v>1.6932554160000004</v>
      </c>
      <c r="L14">
        <f t="shared" si="3"/>
        <v>1.3179653840000007</v>
      </c>
      <c r="M14">
        <f t="shared" si="4"/>
        <v>0.68748971199999986</v>
      </c>
      <c r="N14">
        <f>0</f>
        <v>0</v>
      </c>
      <c r="Y14" s="34"/>
      <c r="Z14" s="34"/>
      <c r="AA14" s="34"/>
      <c r="AB14" s="34"/>
      <c r="AC14" s="34"/>
      <c r="AD14" s="34"/>
      <c r="AE14" s="34"/>
      <c r="AF14" s="34"/>
    </row>
    <row r="15" spans="1:32" x14ac:dyDescent="0.15">
      <c r="A15">
        <v>12</v>
      </c>
      <c r="B15">
        <v>1.5821000000000001</v>
      </c>
      <c r="C15">
        <v>1.3354999999999999</v>
      </c>
      <c r="D15">
        <v>1.5777000000000001</v>
      </c>
      <c r="E15">
        <v>1.3908</v>
      </c>
      <c r="F15">
        <v>1.7559</v>
      </c>
      <c r="G15">
        <f>AVERAGE(Table2[[#This Row],[1]:[5]])</f>
        <v>1.5284000000000002</v>
      </c>
      <c r="H15">
        <f>MAX(Table2[[#This Row],[1]:[5]])-MIN(Table2[[#This Row],[1]:[5]])</f>
        <v>0.42040000000000011</v>
      </c>
      <c r="I15">
        <f t="shared" si="0"/>
        <v>1.5056104000000006</v>
      </c>
      <c r="J15">
        <f t="shared" si="1"/>
        <v>0.32520799999999994</v>
      </c>
      <c r="K15">
        <f t="shared" si="2"/>
        <v>1.6932554160000004</v>
      </c>
      <c r="L15">
        <f t="shared" si="3"/>
        <v>1.3179653840000007</v>
      </c>
      <c r="M15">
        <f t="shared" si="4"/>
        <v>0.68748971199999986</v>
      </c>
      <c r="N15">
        <f>0</f>
        <v>0</v>
      </c>
      <c r="Y15" s="34"/>
      <c r="Z15" s="34"/>
      <c r="AA15" s="34"/>
      <c r="AB15" s="34"/>
      <c r="AC15" s="34"/>
      <c r="AD15" s="34"/>
      <c r="AE15" s="34"/>
      <c r="AF15" s="34"/>
    </row>
    <row r="16" spans="1:32" x14ac:dyDescent="0.15">
      <c r="A16">
        <v>13</v>
      </c>
      <c r="B16">
        <v>1.2856000000000001</v>
      </c>
      <c r="C16">
        <v>1.4106000000000001</v>
      </c>
      <c r="D16">
        <v>1.4447000000000001</v>
      </c>
      <c r="E16">
        <v>1.6397999999999999</v>
      </c>
      <c r="F16">
        <v>1.1928000000000001</v>
      </c>
      <c r="G16">
        <f>AVERAGE(Table2[[#This Row],[1]:[5]])</f>
        <v>1.3947000000000001</v>
      </c>
      <c r="H16">
        <f>MAX(Table2[[#This Row],[1]:[5]])-MIN(Table2[[#This Row],[1]:[5]])</f>
        <v>0.44699999999999984</v>
      </c>
      <c r="I16">
        <f t="shared" si="0"/>
        <v>1.5056104000000006</v>
      </c>
      <c r="J16">
        <f t="shared" si="1"/>
        <v>0.32520799999999994</v>
      </c>
      <c r="K16">
        <f t="shared" si="2"/>
        <v>1.6932554160000004</v>
      </c>
      <c r="L16">
        <f t="shared" si="3"/>
        <v>1.3179653840000007</v>
      </c>
      <c r="M16">
        <f t="shared" si="4"/>
        <v>0.68748971199999986</v>
      </c>
      <c r="N16">
        <f>0</f>
        <v>0</v>
      </c>
      <c r="Y16" s="34"/>
      <c r="Z16" s="34"/>
      <c r="AA16" s="34"/>
      <c r="AB16" s="34"/>
      <c r="AC16" s="34"/>
      <c r="AD16" s="34"/>
      <c r="AE16" s="34"/>
      <c r="AF16" s="34"/>
    </row>
    <row r="17" spans="1:32" x14ac:dyDescent="0.15">
      <c r="A17">
        <v>14</v>
      </c>
      <c r="B17">
        <v>1.4951000000000001</v>
      </c>
      <c r="C17">
        <v>1.4036</v>
      </c>
      <c r="D17">
        <v>1.5892999999999999</v>
      </c>
      <c r="E17">
        <v>1.6457999999999999</v>
      </c>
      <c r="F17">
        <v>1.4968999999999999</v>
      </c>
      <c r="G17">
        <f>AVERAGE(Table2[[#This Row],[1]:[5]])</f>
        <v>1.5261399999999998</v>
      </c>
      <c r="H17">
        <f>MAX(Table2[[#This Row],[1]:[5]])-MIN(Table2[[#This Row],[1]:[5]])</f>
        <v>0.24219999999999997</v>
      </c>
      <c r="I17">
        <f t="shared" si="0"/>
        <v>1.5056104000000006</v>
      </c>
      <c r="J17">
        <f t="shared" si="1"/>
        <v>0.32520799999999994</v>
      </c>
      <c r="K17">
        <f t="shared" si="2"/>
        <v>1.6932554160000004</v>
      </c>
      <c r="L17">
        <f t="shared" si="3"/>
        <v>1.3179653840000007</v>
      </c>
      <c r="M17">
        <f t="shared" si="4"/>
        <v>0.68748971199999986</v>
      </c>
      <c r="N17">
        <f>0</f>
        <v>0</v>
      </c>
      <c r="Y17" s="34"/>
      <c r="Z17" s="34"/>
      <c r="AA17" s="34"/>
      <c r="AB17" s="34"/>
      <c r="AC17" s="34"/>
      <c r="AD17" s="34"/>
      <c r="AE17" s="34"/>
      <c r="AF17" s="34"/>
    </row>
    <row r="18" spans="1:32" x14ac:dyDescent="0.15">
      <c r="A18">
        <v>15</v>
      </c>
      <c r="B18">
        <v>1.3589</v>
      </c>
      <c r="C18">
        <v>1.2863</v>
      </c>
      <c r="D18">
        <v>1.5995999999999999</v>
      </c>
      <c r="E18">
        <v>1.2497</v>
      </c>
      <c r="F18">
        <v>1.5470999999999999</v>
      </c>
      <c r="G18">
        <f>AVERAGE(Table2[[#This Row],[1]:[5]])</f>
        <v>1.4083199999999998</v>
      </c>
      <c r="H18">
        <f>MAX(Table2[[#This Row],[1]:[5]])-MIN(Table2[[#This Row],[1]:[5]])</f>
        <v>0.34989999999999988</v>
      </c>
      <c r="I18">
        <f t="shared" si="0"/>
        <v>1.5056104000000006</v>
      </c>
      <c r="J18">
        <f t="shared" si="1"/>
        <v>0.32520799999999994</v>
      </c>
      <c r="K18">
        <f t="shared" si="2"/>
        <v>1.6932554160000004</v>
      </c>
      <c r="L18">
        <f t="shared" si="3"/>
        <v>1.3179653840000007</v>
      </c>
      <c r="M18">
        <f t="shared" si="4"/>
        <v>0.68748971199999986</v>
      </c>
      <c r="N18">
        <f>0</f>
        <v>0</v>
      </c>
    </row>
    <row r="19" spans="1:32" x14ac:dyDescent="0.15">
      <c r="A19">
        <v>16</v>
      </c>
      <c r="B19">
        <v>1.5747</v>
      </c>
      <c r="C19">
        <v>1.5301</v>
      </c>
      <c r="D19">
        <v>1.5170999999999999</v>
      </c>
      <c r="E19">
        <v>1.1839</v>
      </c>
      <c r="F19">
        <v>1.8662000000000001</v>
      </c>
      <c r="G19">
        <f>AVERAGE(Table2[[#This Row],[1]:[5]])</f>
        <v>1.5344</v>
      </c>
      <c r="H19">
        <f>MAX(Table2[[#This Row],[1]:[5]])-MIN(Table2[[#This Row],[1]:[5]])</f>
        <v>0.68230000000000013</v>
      </c>
      <c r="I19">
        <f t="shared" si="0"/>
        <v>1.5056104000000006</v>
      </c>
      <c r="J19">
        <f t="shared" si="1"/>
        <v>0.32520799999999994</v>
      </c>
      <c r="K19">
        <f t="shared" si="2"/>
        <v>1.6932554160000004</v>
      </c>
      <c r="L19">
        <f t="shared" si="3"/>
        <v>1.3179653840000007</v>
      </c>
      <c r="M19">
        <f t="shared" si="4"/>
        <v>0.68748971199999986</v>
      </c>
      <c r="N19">
        <f>0</f>
        <v>0</v>
      </c>
    </row>
    <row r="20" spans="1:32" x14ac:dyDescent="0.15">
      <c r="A20">
        <v>17</v>
      </c>
      <c r="B20">
        <v>1.3680000000000001</v>
      </c>
      <c r="C20">
        <v>1.7269000000000001</v>
      </c>
      <c r="D20">
        <v>1.3956999999999999</v>
      </c>
      <c r="E20">
        <v>1.5014000000000001</v>
      </c>
      <c r="F20">
        <v>1.4449000000000001</v>
      </c>
      <c r="G20">
        <f>AVERAGE(Table2[[#This Row],[1]:[5]])</f>
        <v>1.4873799999999999</v>
      </c>
      <c r="H20">
        <f>MAX(Table2[[#This Row],[1]:[5]])-MIN(Table2[[#This Row],[1]:[5]])</f>
        <v>0.3589</v>
      </c>
      <c r="I20">
        <f t="shared" si="0"/>
        <v>1.5056104000000006</v>
      </c>
      <c r="J20">
        <f t="shared" si="1"/>
        <v>0.32520799999999994</v>
      </c>
      <c r="K20">
        <f t="shared" si="2"/>
        <v>1.6932554160000004</v>
      </c>
      <c r="L20">
        <f t="shared" si="3"/>
        <v>1.3179653840000007</v>
      </c>
      <c r="M20">
        <f t="shared" si="4"/>
        <v>0.68748971199999986</v>
      </c>
      <c r="N20">
        <f>0</f>
        <v>0</v>
      </c>
    </row>
    <row r="21" spans="1:32" x14ac:dyDescent="0.15">
      <c r="A21">
        <v>18</v>
      </c>
      <c r="B21">
        <v>1.4162999999999999</v>
      </c>
      <c r="C21">
        <v>1.3864000000000001</v>
      </c>
      <c r="D21">
        <v>1.3057000000000001</v>
      </c>
      <c r="E21">
        <v>1.621</v>
      </c>
      <c r="F21">
        <v>1.5572999999999999</v>
      </c>
      <c r="G21">
        <f>AVERAGE(Table2[[#This Row],[1]:[5]])</f>
        <v>1.4573399999999999</v>
      </c>
      <c r="H21">
        <f>MAX(Table2[[#This Row],[1]:[5]])-MIN(Table2[[#This Row],[1]:[5]])</f>
        <v>0.31529999999999991</v>
      </c>
      <c r="I21">
        <f t="shared" si="0"/>
        <v>1.5056104000000006</v>
      </c>
      <c r="J21">
        <f t="shared" si="1"/>
        <v>0.32520799999999994</v>
      </c>
      <c r="K21">
        <f t="shared" si="2"/>
        <v>1.6932554160000004</v>
      </c>
      <c r="L21">
        <f t="shared" si="3"/>
        <v>1.3179653840000007</v>
      </c>
      <c r="M21">
        <f t="shared" si="4"/>
        <v>0.68748971199999986</v>
      </c>
      <c r="N21">
        <f>0</f>
        <v>0</v>
      </c>
    </row>
    <row r="22" spans="1:32" x14ac:dyDescent="0.15">
      <c r="A22">
        <v>19</v>
      </c>
      <c r="B22">
        <v>1.5795999999999999</v>
      </c>
      <c r="C22">
        <v>1.4185000000000001</v>
      </c>
      <c r="D22">
        <v>1.6540999999999999</v>
      </c>
      <c r="E22">
        <v>1.5116000000000001</v>
      </c>
      <c r="F22">
        <v>1.7246999999999999</v>
      </c>
      <c r="G22">
        <f>AVERAGE(Table2[[#This Row],[1]:[5]])</f>
        <v>1.5777000000000001</v>
      </c>
      <c r="H22">
        <f>MAX(Table2[[#This Row],[1]:[5]])-MIN(Table2[[#This Row],[1]:[5]])</f>
        <v>0.30619999999999981</v>
      </c>
      <c r="I22">
        <f t="shared" si="0"/>
        <v>1.5056104000000006</v>
      </c>
      <c r="J22">
        <f t="shared" si="1"/>
        <v>0.32520799999999994</v>
      </c>
      <c r="K22">
        <f t="shared" si="2"/>
        <v>1.6932554160000004</v>
      </c>
      <c r="L22">
        <f t="shared" si="3"/>
        <v>1.3179653840000007</v>
      </c>
      <c r="M22">
        <f t="shared" si="4"/>
        <v>0.68748971199999986</v>
      </c>
      <c r="N22">
        <f>0</f>
        <v>0</v>
      </c>
    </row>
    <row r="23" spans="1:32" x14ac:dyDescent="0.15">
      <c r="A23">
        <v>20</v>
      </c>
      <c r="B23">
        <v>1.7105999999999999</v>
      </c>
      <c r="C23">
        <v>1.4412</v>
      </c>
      <c r="D23">
        <v>1.2361</v>
      </c>
      <c r="E23">
        <v>1.3819999999999999</v>
      </c>
      <c r="F23">
        <v>1.7601</v>
      </c>
      <c r="G23">
        <f>AVERAGE(Table2[[#This Row],[1]:[5]])</f>
        <v>1.5059999999999998</v>
      </c>
      <c r="H23">
        <f>MAX(Table2[[#This Row],[1]:[5]])-MIN(Table2[[#This Row],[1]:[5]])</f>
        <v>0.52400000000000002</v>
      </c>
      <c r="I23">
        <f t="shared" si="0"/>
        <v>1.5056104000000006</v>
      </c>
      <c r="J23">
        <f t="shared" si="1"/>
        <v>0.32520799999999994</v>
      </c>
      <c r="K23">
        <f t="shared" si="2"/>
        <v>1.6932554160000004</v>
      </c>
      <c r="L23">
        <f t="shared" si="3"/>
        <v>1.3179653840000007</v>
      </c>
      <c r="M23">
        <f t="shared" si="4"/>
        <v>0.68748971199999986</v>
      </c>
      <c r="N23">
        <f>0</f>
        <v>0</v>
      </c>
    </row>
    <row r="24" spans="1:32" x14ac:dyDescent="0.15">
      <c r="A24">
        <v>21</v>
      </c>
      <c r="B24">
        <v>1.4371</v>
      </c>
      <c r="C24">
        <v>1.5051000000000001</v>
      </c>
      <c r="D24">
        <v>1.3485</v>
      </c>
      <c r="E24">
        <v>1.5669999999999999</v>
      </c>
      <c r="F24">
        <v>1.488</v>
      </c>
      <c r="G24">
        <f>AVERAGE(Table2[[#This Row],[1]:[5]])</f>
        <v>1.4691400000000001</v>
      </c>
      <c r="H24">
        <f>MAX(Table2[[#This Row],[1]:[5]])-MIN(Table2[[#This Row],[1]:[5]])</f>
        <v>0.21849999999999992</v>
      </c>
      <c r="I24">
        <f t="shared" si="0"/>
        <v>1.5056104000000006</v>
      </c>
      <c r="J24">
        <f t="shared" si="1"/>
        <v>0.32520799999999994</v>
      </c>
      <c r="K24">
        <f t="shared" si="2"/>
        <v>1.6932554160000004</v>
      </c>
      <c r="L24">
        <f t="shared" si="3"/>
        <v>1.3179653840000007</v>
      </c>
      <c r="M24">
        <f t="shared" si="4"/>
        <v>0.68748971199999986</v>
      </c>
      <c r="N24">
        <f>0</f>
        <v>0</v>
      </c>
    </row>
    <row r="25" spans="1:32" x14ac:dyDescent="0.15">
      <c r="A25">
        <v>22</v>
      </c>
      <c r="B25">
        <v>1.4738</v>
      </c>
      <c r="C25">
        <v>1.5935999999999999</v>
      </c>
      <c r="D25">
        <v>1.6583000000000001</v>
      </c>
      <c r="E25">
        <v>1.4973000000000001</v>
      </c>
      <c r="F25">
        <v>1.472</v>
      </c>
      <c r="G25">
        <f>AVERAGE(Table2[[#This Row],[1]:[5]])</f>
        <v>1.5390000000000001</v>
      </c>
      <c r="H25">
        <f>MAX(Table2[[#This Row],[1]:[5]])-MIN(Table2[[#This Row],[1]:[5]])</f>
        <v>0.18630000000000013</v>
      </c>
      <c r="I25">
        <f t="shared" si="0"/>
        <v>1.5056104000000006</v>
      </c>
      <c r="J25">
        <f t="shared" si="1"/>
        <v>0.32520799999999994</v>
      </c>
      <c r="K25">
        <f t="shared" si="2"/>
        <v>1.6932554160000004</v>
      </c>
      <c r="L25">
        <f t="shared" si="3"/>
        <v>1.3179653840000007</v>
      </c>
      <c r="M25">
        <f t="shared" si="4"/>
        <v>0.68748971199999986</v>
      </c>
      <c r="N25">
        <f>0</f>
        <v>0</v>
      </c>
    </row>
    <row r="26" spans="1:32" x14ac:dyDescent="0.15">
      <c r="A26">
        <v>23</v>
      </c>
      <c r="B26">
        <v>1.5916999999999999</v>
      </c>
      <c r="C26">
        <v>1.4333</v>
      </c>
      <c r="D26">
        <v>1.5550999999999999</v>
      </c>
      <c r="E26">
        <v>1.5295000000000001</v>
      </c>
      <c r="F26">
        <v>1.6866000000000001</v>
      </c>
      <c r="G26">
        <f>AVERAGE(Table2[[#This Row],[1]:[5]])</f>
        <v>1.5592400000000002</v>
      </c>
      <c r="H26">
        <f>MAX(Table2[[#This Row],[1]:[5]])-MIN(Table2[[#This Row],[1]:[5]])</f>
        <v>0.25330000000000008</v>
      </c>
      <c r="I26">
        <f t="shared" si="0"/>
        <v>1.5056104000000006</v>
      </c>
      <c r="J26">
        <f t="shared" si="1"/>
        <v>0.32520799999999994</v>
      </c>
      <c r="K26">
        <f t="shared" si="2"/>
        <v>1.6932554160000004</v>
      </c>
      <c r="L26">
        <f t="shared" si="3"/>
        <v>1.3179653840000007</v>
      </c>
      <c r="M26">
        <f t="shared" si="4"/>
        <v>0.68748971199999986</v>
      </c>
      <c r="N26">
        <f>0</f>
        <v>0</v>
      </c>
    </row>
    <row r="27" spans="1:32" x14ac:dyDescent="0.15">
      <c r="A27">
        <v>24</v>
      </c>
      <c r="B27">
        <v>1.6398999999999999</v>
      </c>
      <c r="C27">
        <v>1.5243</v>
      </c>
      <c r="D27">
        <v>1.5705</v>
      </c>
      <c r="E27">
        <v>1.5563</v>
      </c>
      <c r="F27">
        <v>1.5529999999999999</v>
      </c>
      <c r="G27">
        <f>AVERAGE(Table2[[#This Row],[1]:[5]])</f>
        <v>1.5688</v>
      </c>
      <c r="H27">
        <f>MAX(Table2[[#This Row],[1]:[5]])-MIN(Table2[[#This Row],[1]:[5]])</f>
        <v>0.11559999999999993</v>
      </c>
      <c r="I27">
        <f t="shared" si="0"/>
        <v>1.5056104000000006</v>
      </c>
      <c r="J27">
        <f t="shared" si="1"/>
        <v>0.32520799999999994</v>
      </c>
      <c r="K27">
        <f t="shared" si="2"/>
        <v>1.6932554160000004</v>
      </c>
      <c r="L27">
        <f t="shared" si="3"/>
        <v>1.3179653840000007</v>
      </c>
      <c r="M27">
        <f t="shared" si="4"/>
        <v>0.68748971199999986</v>
      </c>
      <c r="N27">
        <f>0</f>
        <v>0</v>
      </c>
    </row>
    <row r="28" spans="1:32" x14ac:dyDescent="0.15">
      <c r="A28">
        <v>25</v>
      </c>
      <c r="B28">
        <v>1.5797000000000001</v>
      </c>
      <c r="C28">
        <v>1.3663000000000001</v>
      </c>
      <c r="D28">
        <v>1.6240000000000001</v>
      </c>
      <c r="E28">
        <v>1.3732</v>
      </c>
      <c r="F28">
        <v>1.6887000000000001</v>
      </c>
      <c r="G28">
        <f>AVERAGE(Table2[[#This Row],[1]:[5]])</f>
        <v>1.5263800000000001</v>
      </c>
      <c r="H28">
        <f>MAX(Table2[[#This Row],[1]:[5]])-MIN(Table2[[#This Row],[1]:[5]])</f>
        <v>0.32240000000000002</v>
      </c>
      <c r="I28">
        <f t="shared" si="0"/>
        <v>1.5056104000000006</v>
      </c>
      <c r="J28">
        <f t="shared" si="1"/>
        <v>0.32520799999999994</v>
      </c>
      <c r="K28">
        <f t="shared" si="2"/>
        <v>1.6932554160000004</v>
      </c>
      <c r="L28">
        <f t="shared" si="3"/>
        <v>1.3179653840000007</v>
      </c>
      <c r="M28">
        <f t="shared" si="4"/>
        <v>0.68748971199999986</v>
      </c>
      <c r="N28">
        <f>0</f>
        <v>0</v>
      </c>
    </row>
    <row r="29" spans="1:32" x14ac:dyDescent="0.15">
      <c r="A29">
        <v>26</v>
      </c>
      <c r="B29">
        <v>1.4482999999999999</v>
      </c>
      <c r="C29">
        <v>1.5458000000000001</v>
      </c>
      <c r="D29">
        <v>1.4538</v>
      </c>
      <c r="E29">
        <v>1.4302999999999999</v>
      </c>
      <c r="F29">
        <v>1.6206</v>
      </c>
      <c r="G29">
        <f>AVERAGE(Table2[[#This Row],[1]:[5]])</f>
        <v>1.4997599999999998</v>
      </c>
      <c r="H29">
        <f>MAX(Table2[[#This Row],[1]:[5]])-MIN(Table2[[#This Row],[1]:[5]])</f>
        <v>0.19030000000000014</v>
      </c>
      <c r="I29">
        <f t="shared" ref="I29:I48" si="5">$Q$3</f>
        <v>1.5056104000000006</v>
      </c>
      <c r="J29">
        <f t="shared" ref="J29:J48" si="6">$Q$2</f>
        <v>0.32520799999999994</v>
      </c>
      <c r="K29">
        <f t="shared" ref="K29:K48" si="7">$Q$3+$S$2*$Q$2</f>
        <v>1.6932554160000004</v>
      </c>
      <c r="L29">
        <f t="shared" ref="L29:L48" si="8">$Q$3-$S$2*$Q$2</f>
        <v>1.3179653840000007</v>
      </c>
      <c r="M29">
        <f t="shared" ref="M29:M48" si="9">$U$2*$Q$2</f>
        <v>0.68748971199999986</v>
      </c>
      <c r="N29">
        <f>0</f>
        <v>0</v>
      </c>
    </row>
    <row r="30" spans="1:32" x14ac:dyDescent="0.15">
      <c r="A30">
        <v>27</v>
      </c>
      <c r="B30">
        <v>1.5435000000000001</v>
      </c>
      <c r="C30">
        <v>1.6899</v>
      </c>
      <c r="D30">
        <v>1.583</v>
      </c>
      <c r="E30">
        <v>1.3358000000000001</v>
      </c>
      <c r="F30">
        <v>1.4187000000000001</v>
      </c>
      <c r="G30">
        <f>AVERAGE(Table2[[#This Row],[1]:[5]])</f>
        <v>1.5141800000000001</v>
      </c>
      <c r="H30">
        <f>MAX(Table2[[#This Row],[1]:[5]])-MIN(Table2[[#This Row],[1]:[5]])</f>
        <v>0.35409999999999986</v>
      </c>
      <c r="I30">
        <f t="shared" si="5"/>
        <v>1.5056104000000006</v>
      </c>
      <c r="J30">
        <f t="shared" si="6"/>
        <v>0.32520799999999994</v>
      </c>
      <c r="K30">
        <f t="shared" si="7"/>
        <v>1.6932554160000004</v>
      </c>
      <c r="L30">
        <f t="shared" si="8"/>
        <v>1.3179653840000007</v>
      </c>
      <c r="M30">
        <f t="shared" si="9"/>
        <v>0.68748971199999986</v>
      </c>
      <c r="N30">
        <f>0</f>
        <v>0</v>
      </c>
    </row>
    <row r="31" spans="1:32" x14ac:dyDescent="0.15">
      <c r="A31">
        <v>28</v>
      </c>
      <c r="B31">
        <v>1.5175000000000001</v>
      </c>
      <c r="C31">
        <v>1.3446</v>
      </c>
      <c r="D31">
        <v>1.4722999999999999</v>
      </c>
      <c r="E31">
        <v>1.6657</v>
      </c>
      <c r="F31">
        <v>1.6660999999999999</v>
      </c>
      <c r="G31">
        <f>AVERAGE(Table2[[#This Row],[1]:[5]])</f>
        <v>1.5332399999999999</v>
      </c>
      <c r="H31">
        <f>MAX(Table2[[#This Row],[1]:[5]])-MIN(Table2[[#This Row],[1]:[5]])</f>
        <v>0.3214999999999999</v>
      </c>
      <c r="I31">
        <f t="shared" si="5"/>
        <v>1.5056104000000006</v>
      </c>
      <c r="J31">
        <f t="shared" si="6"/>
        <v>0.32520799999999994</v>
      </c>
      <c r="K31">
        <f t="shared" si="7"/>
        <v>1.6932554160000004</v>
      </c>
      <c r="L31">
        <f t="shared" si="8"/>
        <v>1.3179653840000007</v>
      </c>
      <c r="M31">
        <f t="shared" si="9"/>
        <v>0.68748971199999986</v>
      </c>
      <c r="N31">
        <f>0</f>
        <v>0</v>
      </c>
    </row>
    <row r="32" spans="1:32" x14ac:dyDescent="0.15">
      <c r="A32">
        <v>29</v>
      </c>
      <c r="B32">
        <v>1.5454000000000001</v>
      </c>
      <c r="C32">
        <v>1.0931</v>
      </c>
      <c r="D32">
        <v>1.4072</v>
      </c>
      <c r="E32">
        <v>1.5039</v>
      </c>
      <c r="F32">
        <v>1.5264</v>
      </c>
      <c r="G32">
        <f>AVERAGE(Table2[[#This Row],[1]:[5]])</f>
        <v>1.4152</v>
      </c>
      <c r="H32">
        <f>MAX(Table2[[#This Row],[1]:[5]])-MIN(Table2[[#This Row],[1]:[5]])</f>
        <v>0.45230000000000015</v>
      </c>
      <c r="I32">
        <f t="shared" si="5"/>
        <v>1.5056104000000006</v>
      </c>
      <c r="J32">
        <f t="shared" si="6"/>
        <v>0.32520799999999994</v>
      </c>
      <c r="K32">
        <f t="shared" si="7"/>
        <v>1.6932554160000004</v>
      </c>
      <c r="L32">
        <f t="shared" si="8"/>
        <v>1.3179653840000007</v>
      </c>
      <c r="M32">
        <f t="shared" si="9"/>
        <v>0.68748971199999986</v>
      </c>
      <c r="N32">
        <f>0</f>
        <v>0</v>
      </c>
    </row>
    <row r="33" spans="1:14" x14ac:dyDescent="0.15">
      <c r="A33">
        <v>30</v>
      </c>
      <c r="B33">
        <v>1.4418</v>
      </c>
      <c r="C33">
        <v>1.5059</v>
      </c>
      <c r="D33">
        <v>1.5124</v>
      </c>
      <c r="E33">
        <v>1.462</v>
      </c>
      <c r="F33">
        <v>1.6263000000000001</v>
      </c>
      <c r="G33">
        <f>AVERAGE(Table2[[#This Row],[1]:[5]])</f>
        <v>1.5096800000000001</v>
      </c>
      <c r="H33">
        <f>MAX(Table2[[#This Row],[1]:[5]])-MIN(Table2[[#This Row],[1]:[5]])</f>
        <v>0.18450000000000011</v>
      </c>
      <c r="I33">
        <f t="shared" si="5"/>
        <v>1.5056104000000006</v>
      </c>
      <c r="J33">
        <f t="shared" si="6"/>
        <v>0.32520799999999994</v>
      </c>
      <c r="K33">
        <f t="shared" si="7"/>
        <v>1.6932554160000004</v>
      </c>
      <c r="L33">
        <f t="shared" si="8"/>
        <v>1.3179653840000007</v>
      </c>
      <c r="M33">
        <f t="shared" si="9"/>
        <v>0.68748971199999986</v>
      </c>
      <c r="N33">
        <f>0</f>
        <v>0</v>
      </c>
    </row>
    <row r="34" spans="1:14" x14ac:dyDescent="0.15">
      <c r="A34">
        <v>31</v>
      </c>
      <c r="B34">
        <v>1.4300999999999999</v>
      </c>
      <c r="C34">
        <v>1.2725</v>
      </c>
      <c r="D34">
        <v>1.5945</v>
      </c>
      <c r="E34">
        <v>1.5397000000000001</v>
      </c>
      <c r="F34">
        <v>1.5251999999999999</v>
      </c>
      <c r="G34">
        <f>AVERAGE(Table2[[#This Row],[1]:[5]])</f>
        <v>1.4723999999999999</v>
      </c>
      <c r="H34">
        <f>MAX(Table2[[#This Row],[1]:[5]])-MIN(Table2[[#This Row],[1]:[5]])</f>
        <v>0.32200000000000006</v>
      </c>
      <c r="I34">
        <f t="shared" si="5"/>
        <v>1.5056104000000006</v>
      </c>
      <c r="J34">
        <f t="shared" si="6"/>
        <v>0.32520799999999994</v>
      </c>
      <c r="K34">
        <f t="shared" si="7"/>
        <v>1.6932554160000004</v>
      </c>
      <c r="L34">
        <f t="shared" si="8"/>
        <v>1.3179653840000007</v>
      </c>
      <c r="M34">
        <f t="shared" si="9"/>
        <v>0.68748971199999986</v>
      </c>
      <c r="N34">
        <f>0</f>
        <v>0</v>
      </c>
    </row>
    <row r="35" spans="1:14" x14ac:dyDescent="0.15">
      <c r="A35">
        <v>32</v>
      </c>
      <c r="B35">
        <v>1.4981</v>
      </c>
      <c r="C35">
        <v>1.4505999999999999</v>
      </c>
      <c r="D35">
        <v>1.6173999999999999</v>
      </c>
      <c r="E35">
        <v>1.5837000000000001</v>
      </c>
      <c r="F35">
        <v>1.4962</v>
      </c>
      <c r="G35">
        <f>AVERAGE(Table2[[#This Row],[1]:[5]])</f>
        <v>1.5291999999999999</v>
      </c>
      <c r="H35">
        <f>MAX(Table2[[#This Row],[1]:[5]])-MIN(Table2[[#This Row],[1]:[5]])</f>
        <v>0.16680000000000006</v>
      </c>
      <c r="I35">
        <f t="shared" si="5"/>
        <v>1.5056104000000006</v>
      </c>
      <c r="J35">
        <f t="shared" si="6"/>
        <v>0.32520799999999994</v>
      </c>
      <c r="K35">
        <f t="shared" si="7"/>
        <v>1.6932554160000004</v>
      </c>
      <c r="L35">
        <f t="shared" si="8"/>
        <v>1.3179653840000007</v>
      </c>
      <c r="M35">
        <f t="shared" si="9"/>
        <v>0.68748971199999986</v>
      </c>
      <c r="N35">
        <f>0</f>
        <v>0</v>
      </c>
    </row>
    <row r="36" spans="1:14" x14ac:dyDescent="0.15">
      <c r="A36">
        <v>33</v>
      </c>
      <c r="B36">
        <v>1.3008999999999999</v>
      </c>
      <c r="C36">
        <v>1.506</v>
      </c>
      <c r="D36">
        <v>1.6231</v>
      </c>
      <c r="E36">
        <v>1.5831</v>
      </c>
      <c r="F36">
        <v>1.6454</v>
      </c>
      <c r="G36">
        <f>AVERAGE(Table2[[#This Row],[1]:[5]])</f>
        <v>1.5317000000000001</v>
      </c>
      <c r="H36">
        <f>MAX(Table2[[#This Row],[1]:[5]])-MIN(Table2[[#This Row],[1]:[5]])</f>
        <v>0.34450000000000003</v>
      </c>
      <c r="I36">
        <f t="shared" si="5"/>
        <v>1.5056104000000006</v>
      </c>
      <c r="J36">
        <f t="shared" si="6"/>
        <v>0.32520799999999994</v>
      </c>
      <c r="K36">
        <f t="shared" si="7"/>
        <v>1.6932554160000004</v>
      </c>
      <c r="L36">
        <f t="shared" si="8"/>
        <v>1.3179653840000007</v>
      </c>
      <c r="M36">
        <f t="shared" si="9"/>
        <v>0.68748971199999986</v>
      </c>
      <c r="N36">
        <f>0</f>
        <v>0</v>
      </c>
    </row>
    <row r="37" spans="1:14" x14ac:dyDescent="0.15">
      <c r="A37">
        <v>34</v>
      </c>
      <c r="B37">
        <v>1.4132</v>
      </c>
      <c r="C37">
        <v>1.4602999999999999</v>
      </c>
      <c r="D37">
        <v>1.5808</v>
      </c>
      <c r="E37">
        <v>1.7111000000000001</v>
      </c>
      <c r="F37">
        <v>1.7313000000000001</v>
      </c>
      <c r="G37">
        <f>AVERAGE(Table2[[#This Row],[1]:[5]])</f>
        <v>1.57934</v>
      </c>
      <c r="H37">
        <f>MAX(Table2[[#This Row],[1]:[5]])-MIN(Table2[[#This Row],[1]:[5]])</f>
        <v>0.31810000000000005</v>
      </c>
      <c r="I37">
        <f t="shared" si="5"/>
        <v>1.5056104000000006</v>
      </c>
      <c r="J37">
        <f t="shared" si="6"/>
        <v>0.32520799999999994</v>
      </c>
      <c r="K37">
        <f t="shared" si="7"/>
        <v>1.6932554160000004</v>
      </c>
      <c r="L37">
        <f t="shared" si="8"/>
        <v>1.3179653840000007</v>
      </c>
      <c r="M37">
        <f t="shared" si="9"/>
        <v>0.68748971199999986</v>
      </c>
      <c r="N37">
        <f>0</f>
        <v>0</v>
      </c>
    </row>
    <row r="38" spans="1:14" x14ac:dyDescent="0.15">
      <c r="A38">
        <v>35</v>
      </c>
      <c r="B38">
        <v>1.3816999999999999</v>
      </c>
      <c r="C38">
        <v>1.3134999999999999</v>
      </c>
      <c r="D38">
        <v>1.4953000000000001</v>
      </c>
      <c r="E38">
        <v>1.4894000000000001</v>
      </c>
      <c r="F38">
        <v>1.4596</v>
      </c>
      <c r="G38">
        <f>AVERAGE(Table2[[#This Row],[1]:[5]])</f>
        <v>1.4278999999999999</v>
      </c>
      <c r="H38">
        <f>MAX(Table2[[#This Row],[1]:[5]])-MIN(Table2[[#This Row],[1]:[5]])</f>
        <v>0.18180000000000018</v>
      </c>
      <c r="I38">
        <f t="shared" si="5"/>
        <v>1.5056104000000006</v>
      </c>
      <c r="J38">
        <f t="shared" si="6"/>
        <v>0.32520799999999994</v>
      </c>
      <c r="K38">
        <f t="shared" si="7"/>
        <v>1.6932554160000004</v>
      </c>
      <c r="L38">
        <f t="shared" si="8"/>
        <v>1.3179653840000007</v>
      </c>
      <c r="M38">
        <f t="shared" si="9"/>
        <v>0.68748971199999986</v>
      </c>
      <c r="N38">
        <f>0</f>
        <v>0</v>
      </c>
    </row>
    <row r="39" spans="1:14" x14ac:dyDescent="0.15">
      <c r="A39">
        <v>36</v>
      </c>
      <c r="B39">
        <v>1.5765</v>
      </c>
      <c r="C39">
        <v>1.7014</v>
      </c>
      <c r="D39">
        <v>1.4026000000000001</v>
      </c>
      <c r="E39">
        <v>1.2773000000000001</v>
      </c>
      <c r="F39">
        <v>1.4540999999999999</v>
      </c>
      <c r="G39">
        <f>AVERAGE(Table2[[#This Row],[1]:[5]])</f>
        <v>1.4823800000000003</v>
      </c>
      <c r="H39">
        <f>MAX(Table2[[#This Row],[1]:[5]])-MIN(Table2[[#This Row],[1]:[5]])</f>
        <v>0.42409999999999992</v>
      </c>
      <c r="I39">
        <f t="shared" si="5"/>
        <v>1.5056104000000006</v>
      </c>
      <c r="J39">
        <f t="shared" si="6"/>
        <v>0.32520799999999994</v>
      </c>
      <c r="K39">
        <f t="shared" si="7"/>
        <v>1.6932554160000004</v>
      </c>
      <c r="L39">
        <f t="shared" si="8"/>
        <v>1.3179653840000007</v>
      </c>
      <c r="M39">
        <f t="shared" si="9"/>
        <v>0.68748971199999986</v>
      </c>
      <c r="N39">
        <f>0</f>
        <v>0</v>
      </c>
    </row>
    <row r="40" spans="1:14" x14ac:dyDescent="0.15">
      <c r="A40">
        <v>37</v>
      </c>
      <c r="B40">
        <v>1.4936</v>
      </c>
      <c r="C40">
        <v>1.4373</v>
      </c>
      <c r="D40">
        <v>1.5139</v>
      </c>
      <c r="E40">
        <v>1.4807999999999999</v>
      </c>
      <c r="F40">
        <v>1.5293000000000001</v>
      </c>
      <c r="G40">
        <f>AVERAGE(Table2[[#This Row],[1]:[5]])</f>
        <v>1.4909800000000002</v>
      </c>
      <c r="H40">
        <f>MAX(Table2[[#This Row],[1]:[5]])-MIN(Table2[[#This Row],[1]:[5]])</f>
        <v>9.2000000000000082E-2</v>
      </c>
      <c r="I40">
        <f t="shared" si="5"/>
        <v>1.5056104000000006</v>
      </c>
      <c r="J40">
        <f t="shared" si="6"/>
        <v>0.32520799999999994</v>
      </c>
      <c r="K40">
        <f t="shared" si="7"/>
        <v>1.6932554160000004</v>
      </c>
      <c r="L40">
        <f t="shared" si="8"/>
        <v>1.3179653840000007</v>
      </c>
      <c r="M40">
        <f t="shared" si="9"/>
        <v>0.68748971199999986</v>
      </c>
      <c r="N40">
        <f>0</f>
        <v>0</v>
      </c>
    </row>
    <row r="41" spans="1:14" x14ac:dyDescent="0.15">
      <c r="A41">
        <v>38</v>
      </c>
      <c r="B41">
        <v>1.5729</v>
      </c>
      <c r="C41">
        <v>1.6738</v>
      </c>
      <c r="D41">
        <v>1.5047999999999999</v>
      </c>
      <c r="E41">
        <v>1.5650999999999999</v>
      </c>
      <c r="F41">
        <v>1.7473000000000001</v>
      </c>
      <c r="G41">
        <f>AVERAGE(Table2[[#This Row],[1]:[5]])</f>
        <v>1.6127800000000001</v>
      </c>
      <c r="H41">
        <f>MAX(Table2[[#This Row],[1]:[5]])-MIN(Table2[[#This Row],[1]:[5]])</f>
        <v>0.24250000000000016</v>
      </c>
      <c r="I41">
        <f t="shared" si="5"/>
        <v>1.5056104000000006</v>
      </c>
      <c r="J41">
        <f t="shared" si="6"/>
        <v>0.32520799999999994</v>
      </c>
      <c r="K41">
        <f t="shared" si="7"/>
        <v>1.6932554160000004</v>
      </c>
      <c r="L41">
        <f t="shared" si="8"/>
        <v>1.3179653840000007</v>
      </c>
      <c r="M41">
        <f t="shared" si="9"/>
        <v>0.68748971199999986</v>
      </c>
      <c r="N41">
        <f>0</f>
        <v>0</v>
      </c>
    </row>
    <row r="42" spans="1:14" x14ac:dyDescent="0.15">
      <c r="A42">
        <v>39</v>
      </c>
      <c r="B42">
        <v>1.8089</v>
      </c>
      <c r="C42">
        <v>1.5512999999999999</v>
      </c>
      <c r="D42">
        <v>1.825</v>
      </c>
      <c r="E42">
        <v>1.4389000000000001</v>
      </c>
      <c r="F42">
        <v>1.6557999999999999</v>
      </c>
      <c r="G42">
        <f>AVERAGE(Table2[[#This Row],[1]:[5]])</f>
        <v>1.65598</v>
      </c>
      <c r="H42">
        <f>MAX(Table2[[#This Row],[1]:[5]])-MIN(Table2[[#This Row],[1]:[5]])</f>
        <v>0.38609999999999989</v>
      </c>
      <c r="I42">
        <f t="shared" si="5"/>
        <v>1.5056104000000006</v>
      </c>
      <c r="J42">
        <f t="shared" si="6"/>
        <v>0.32520799999999994</v>
      </c>
      <c r="K42">
        <f t="shared" si="7"/>
        <v>1.6932554160000004</v>
      </c>
      <c r="L42">
        <f t="shared" si="8"/>
        <v>1.3179653840000007</v>
      </c>
      <c r="M42">
        <f t="shared" si="9"/>
        <v>0.68748971199999986</v>
      </c>
      <c r="N42">
        <f>0</f>
        <v>0</v>
      </c>
    </row>
    <row r="43" spans="1:14" x14ac:dyDescent="0.15">
      <c r="A43">
        <v>40</v>
      </c>
      <c r="B43">
        <v>1.6235999999999999</v>
      </c>
      <c r="C43">
        <v>1.5392999999999999</v>
      </c>
      <c r="D43">
        <v>1.6738</v>
      </c>
      <c r="E43">
        <v>1.8697999999999999</v>
      </c>
      <c r="F43">
        <v>1.5036</v>
      </c>
      <c r="G43">
        <f>AVERAGE(Table2[[#This Row],[1]:[5]])</f>
        <v>1.6420199999999998</v>
      </c>
      <c r="H43">
        <f>MAX(Table2[[#This Row],[1]:[5]])-MIN(Table2[[#This Row],[1]:[5]])</f>
        <v>0.36619999999999986</v>
      </c>
      <c r="I43">
        <f t="shared" si="5"/>
        <v>1.5056104000000006</v>
      </c>
      <c r="J43">
        <f t="shared" si="6"/>
        <v>0.32520799999999994</v>
      </c>
      <c r="K43">
        <f t="shared" si="7"/>
        <v>1.6932554160000004</v>
      </c>
      <c r="L43">
        <f t="shared" si="8"/>
        <v>1.3179653840000007</v>
      </c>
      <c r="M43">
        <f t="shared" si="9"/>
        <v>0.68748971199999986</v>
      </c>
      <c r="N43">
        <f>0</f>
        <v>0</v>
      </c>
    </row>
    <row r="44" spans="1:14" x14ac:dyDescent="0.15">
      <c r="A44">
        <v>41</v>
      </c>
      <c r="B44">
        <v>1.4119999999999999</v>
      </c>
      <c r="C44">
        <v>1.7930999999999999</v>
      </c>
      <c r="D44">
        <v>1.7344999999999999</v>
      </c>
      <c r="E44">
        <v>1.6391</v>
      </c>
      <c r="F44">
        <v>1.7790999999999999</v>
      </c>
      <c r="G44">
        <f>AVERAGE(Table2[[#This Row],[1]:[5]])</f>
        <v>1.6715599999999999</v>
      </c>
      <c r="H44">
        <f>MAX(Table2[[#This Row],[1]:[5]])-MIN(Table2[[#This Row],[1]:[5]])</f>
        <v>0.38109999999999999</v>
      </c>
      <c r="I44">
        <f t="shared" si="5"/>
        <v>1.5056104000000006</v>
      </c>
      <c r="J44">
        <f t="shared" si="6"/>
        <v>0.32520799999999994</v>
      </c>
      <c r="K44">
        <f t="shared" si="7"/>
        <v>1.6932554160000004</v>
      </c>
      <c r="L44">
        <f t="shared" si="8"/>
        <v>1.3179653840000007</v>
      </c>
      <c r="M44">
        <f t="shared" si="9"/>
        <v>0.68748971199999986</v>
      </c>
      <c r="N44">
        <f>0</f>
        <v>0</v>
      </c>
    </row>
    <row r="45" spans="1:14" x14ac:dyDescent="0.15">
      <c r="A45">
        <v>42</v>
      </c>
      <c r="B45">
        <v>1.7372000000000001</v>
      </c>
      <c r="C45">
        <v>1.5663</v>
      </c>
      <c r="D45">
        <v>1.4910000000000001</v>
      </c>
      <c r="E45">
        <v>1.7808999999999999</v>
      </c>
      <c r="F45">
        <v>1.5504</v>
      </c>
      <c r="G45">
        <f>AVERAGE(Table2[[#This Row],[1]:[5]])</f>
        <v>1.6251599999999999</v>
      </c>
      <c r="H45">
        <f>MAX(Table2[[#This Row],[1]:[5]])-MIN(Table2[[#This Row],[1]:[5]])</f>
        <v>0.28989999999999982</v>
      </c>
      <c r="I45">
        <f t="shared" si="5"/>
        <v>1.5056104000000006</v>
      </c>
      <c r="J45">
        <f t="shared" si="6"/>
        <v>0.32520799999999994</v>
      </c>
      <c r="K45">
        <f t="shared" si="7"/>
        <v>1.6932554160000004</v>
      </c>
      <c r="L45">
        <f t="shared" si="8"/>
        <v>1.3179653840000007</v>
      </c>
      <c r="M45">
        <f t="shared" si="9"/>
        <v>0.68748971199999986</v>
      </c>
      <c r="N45">
        <f>0</f>
        <v>0</v>
      </c>
    </row>
    <row r="46" spans="1:14" x14ac:dyDescent="0.15">
      <c r="A46">
        <v>43</v>
      </c>
      <c r="B46">
        <v>1.5971</v>
      </c>
      <c r="C46">
        <v>1.7394000000000001</v>
      </c>
      <c r="D46">
        <v>1.6832</v>
      </c>
      <c r="E46">
        <v>1.6677</v>
      </c>
      <c r="F46">
        <v>1.7974000000000001</v>
      </c>
      <c r="G46">
        <f>AVERAGE(Table2[[#This Row],[1]:[5]])</f>
        <v>1.69696</v>
      </c>
      <c r="H46">
        <f>MAX(Table2[[#This Row],[1]:[5]])-MIN(Table2[[#This Row],[1]:[5]])</f>
        <v>0.20030000000000014</v>
      </c>
      <c r="I46">
        <f t="shared" si="5"/>
        <v>1.5056104000000006</v>
      </c>
      <c r="J46">
        <f t="shared" si="6"/>
        <v>0.32520799999999994</v>
      </c>
      <c r="K46">
        <f t="shared" si="7"/>
        <v>1.6932554160000004</v>
      </c>
      <c r="L46">
        <f t="shared" si="8"/>
        <v>1.3179653840000007</v>
      </c>
      <c r="M46">
        <f t="shared" si="9"/>
        <v>0.68748971199999986</v>
      </c>
      <c r="N46">
        <f>0</f>
        <v>0</v>
      </c>
    </row>
    <row r="47" spans="1:14" x14ac:dyDescent="0.15">
      <c r="A47">
        <v>44</v>
      </c>
      <c r="B47">
        <v>1.4295</v>
      </c>
      <c r="C47">
        <v>1.6536</v>
      </c>
      <c r="D47">
        <v>1.9134</v>
      </c>
      <c r="E47">
        <v>1.7272000000000001</v>
      </c>
      <c r="F47">
        <v>1.4370000000000001</v>
      </c>
      <c r="G47">
        <f>AVERAGE(Table2[[#This Row],[1]:[5]])</f>
        <v>1.6321400000000001</v>
      </c>
      <c r="H47">
        <f>MAX(Table2[[#This Row],[1]:[5]])-MIN(Table2[[#This Row],[1]:[5]])</f>
        <v>0.4839</v>
      </c>
      <c r="I47">
        <f t="shared" si="5"/>
        <v>1.5056104000000006</v>
      </c>
      <c r="J47">
        <f t="shared" si="6"/>
        <v>0.32520799999999994</v>
      </c>
      <c r="K47">
        <f t="shared" si="7"/>
        <v>1.6932554160000004</v>
      </c>
      <c r="L47">
        <f t="shared" si="8"/>
        <v>1.3179653840000007</v>
      </c>
      <c r="M47">
        <f t="shared" si="9"/>
        <v>0.68748971199999986</v>
      </c>
      <c r="N47">
        <f>0</f>
        <v>0</v>
      </c>
    </row>
    <row r="48" spans="1:14" x14ac:dyDescent="0.15">
      <c r="A48">
        <v>45</v>
      </c>
      <c r="B48">
        <v>1.6216999999999999</v>
      </c>
      <c r="C48">
        <v>1.8220000000000001</v>
      </c>
      <c r="D48">
        <v>1.7915000000000001</v>
      </c>
      <c r="E48">
        <v>1.6744000000000001</v>
      </c>
      <c r="F48">
        <v>1.9403999999999999</v>
      </c>
      <c r="G48">
        <f>AVERAGE(Table2[[#This Row],[1]:[5]])</f>
        <v>1.77</v>
      </c>
      <c r="H48">
        <f>MAX(Table2[[#This Row],[1]:[5]])-MIN(Table2[[#This Row],[1]:[5]])</f>
        <v>0.31869999999999998</v>
      </c>
      <c r="I48">
        <f t="shared" si="5"/>
        <v>1.5056104000000006</v>
      </c>
      <c r="J48">
        <f t="shared" si="6"/>
        <v>0.32520799999999994</v>
      </c>
      <c r="K48">
        <f t="shared" si="7"/>
        <v>1.6932554160000004</v>
      </c>
      <c r="L48">
        <f t="shared" si="8"/>
        <v>1.3179653840000007</v>
      </c>
      <c r="M48">
        <f t="shared" si="9"/>
        <v>0.68748971199999986</v>
      </c>
      <c r="N48">
        <f>0</f>
        <v>0</v>
      </c>
    </row>
    <row r="54" spans="2:47" ht="28.5" x14ac:dyDescent="0.15">
      <c r="B54" s="35" t="s">
        <v>0</v>
      </c>
      <c r="C54" s="24">
        <v>1</v>
      </c>
      <c r="D54" s="26">
        <v>2</v>
      </c>
      <c r="E54" s="24">
        <v>3</v>
      </c>
      <c r="F54" s="26">
        <v>4</v>
      </c>
      <c r="G54" s="24">
        <v>5</v>
      </c>
      <c r="H54" s="26">
        <v>6</v>
      </c>
      <c r="I54" s="24">
        <v>7</v>
      </c>
      <c r="J54" s="26">
        <v>8</v>
      </c>
      <c r="K54" s="24">
        <v>9</v>
      </c>
      <c r="L54" s="26">
        <v>10</v>
      </c>
      <c r="M54" s="24">
        <v>11</v>
      </c>
      <c r="N54" s="26">
        <v>12</v>
      </c>
      <c r="O54" s="24">
        <v>13</v>
      </c>
      <c r="P54" s="26">
        <v>14</v>
      </c>
      <c r="Q54" s="24">
        <v>15</v>
      </c>
      <c r="R54" s="26">
        <v>16</v>
      </c>
      <c r="S54" s="24">
        <v>17</v>
      </c>
      <c r="T54" s="26">
        <v>18</v>
      </c>
      <c r="U54" s="24">
        <v>19</v>
      </c>
      <c r="V54" s="26">
        <v>20</v>
      </c>
      <c r="W54" s="24">
        <v>21</v>
      </c>
      <c r="X54" s="26">
        <v>22</v>
      </c>
      <c r="Y54" s="24">
        <v>23</v>
      </c>
      <c r="Z54" s="26">
        <v>24</v>
      </c>
      <c r="AA54" s="24">
        <v>25</v>
      </c>
      <c r="AB54" s="26">
        <v>26</v>
      </c>
      <c r="AC54" s="24">
        <v>27</v>
      </c>
      <c r="AD54" s="26">
        <v>28</v>
      </c>
      <c r="AE54" s="24">
        <v>29</v>
      </c>
      <c r="AF54" s="26">
        <v>30</v>
      </c>
      <c r="AG54" s="24">
        <v>31</v>
      </c>
      <c r="AH54" s="26">
        <v>32</v>
      </c>
      <c r="AI54" s="24">
        <v>33</v>
      </c>
      <c r="AJ54" s="26">
        <v>34</v>
      </c>
      <c r="AK54" s="24">
        <v>35</v>
      </c>
      <c r="AL54" s="26">
        <v>36</v>
      </c>
      <c r="AM54" s="24">
        <v>37</v>
      </c>
      <c r="AN54" s="26">
        <v>38</v>
      </c>
      <c r="AO54" s="24">
        <v>39</v>
      </c>
      <c r="AP54" s="26">
        <v>40</v>
      </c>
      <c r="AQ54" s="24">
        <v>41</v>
      </c>
      <c r="AR54" s="26">
        <v>42</v>
      </c>
      <c r="AS54" s="24">
        <v>43</v>
      </c>
      <c r="AT54" s="26">
        <v>44</v>
      </c>
      <c r="AU54" s="24">
        <v>45</v>
      </c>
    </row>
    <row r="55" spans="2:47" x14ac:dyDescent="0.15">
      <c r="B55" s="36" t="s">
        <v>110</v>
      </c>
      <c r="C55" s="25">
        <v>1.3234999999999999</v>
      </c>
      <c r="D55" s="27">
        <v>1.4314</v>
      </c>
      <c r="E55" s="25">
        <v>1.4283999999999999</v>
      </c>
      <c r="F55" s="27">
        <v>1.5027999999999999</v>
      </c>
      <c r="G55" s="25">
        <v>1.5604</v>
      </c>
      <c r="H55" s="27">
        <v>1.5954999999999999</v>
      </c>
      <c r="I55" s="25">
        <v>1.6274</v>
      </c>
      <c r="J55" s="27">
        <v>1.419</v>
      </c>
      <c r="K55" s="25">
        <v>1.3884000000000001</v>
      </c>
      <c r="L55" s="27">
        <v>1.4038999999999999</v>
      </c>
      <c r="M55" s="25">
        <v>1.4157999999999999</v>
      </c>
      <c r="N55" s="27">
        <v>1.5821000000000001</v>
      </c>
      <c r="O55" s="25">
        <v>1.2856000000000001</v>
      </c>
      <c r="P55" s="27">
        <v>1.4951000000000001</v>
      </c>
      <c r="Q55" s="25">
        <v>1.3589</v>
      </c>
      <c r="R55" s="27">
        <v>1.5747</v>
      </c>
      <c r="S55" s="25">
        <v>1.3680000000000001</v>
      </c>
      <c r="T55" s="27">
        <v>1.4162999999999999</v>
      </c>
      <c r="U55" s="25">
        <v>1.5795999999999999</v>
      </c>
      <c r="V55" s="27">
        <v>1.7105999999999999</v>
      </c>
      <c r="W55" s="25">
        <v>1.4371</v>
      </c>
      <c r="X55" s="27">
        <v>1.4738</v>
      </c>
      <c r="Y55" s="25">
        <v>1.5916999999999999</v>
      </c>
      <c r="Z55" s="27">
        <v>1.6398999999999999</v>
      </c>
      <c r="AA55" s="25">
        <v>1.5797000000000001</v>
      </c>
      <c r="AB55" s="27">
        <v>1.4482999999999999</v>
      </c>
      <c r="AC55" s="25">
        <v>1.5435000000000001</v>
      </c>
      <c r="AD55" s="27">
        <v>1.5175000000000001</v>
      </c>
      <c r="AE55" s="25">
        <v>1.5454000000000001</v>
      </c>
      <c r="AF55" s="27">
        <v>1.4418</v>
      </c>
      <c r="AG55" s="25">
        <v>1.4300999999999999</v>
      </c>
      <c r="AH55" s="27">
        <v>1.4981</v>
      </c>
      <c r="AI55" s="25">
        <v>1.3008999999999999</v>
      </c>
      <c r="AJ55" s="27">
        <v>1.4132</v>
      </c>
      <c r="AK55" s="25">
        <v>1.3816999999999999</v>
      </c>
      <c r="AL55" s="27">
        <v>1.5765</v>
      </c>
      <c r="AM55" s="25">
        <v>1.4936</v>
      </c>
      <c r="AN55" s="27">
        <v>1.5729</v>
      </c>
      <c r="AO55" s="25">
        <v>1.8089</v>
      </c>
      <c r="AP55" s="27">
        <v>1.6235999999999999</v>
      </c>
      <c r="AQ55" s="25">
        <v>1.4119999999999999</v>
      </c>
      <c r="AR55" s="27">
        <v>1.7372000000000001</v>
      </c>
      <c r="AS55" s="25">
        <v>1.5971</v>
      </c>
      <c r="AT55" s="27">
        <v>1.4295</v>
      </c>
      <c r="AU55" s="25">
        <v>1.6216999999999999</v>
      </c>
    </row>
    <row r="56" spans="2:47" x14ac:dyDescent="0.15">
      <c r="B56" s="36" t="s">
        <v>111</v>
      </c>
      <c r="C56" s="25">
        <v>1.4128000000000001</v>
      </c>
      <c r="D56" s="27">
        <v>1.3592</v>
      </c>
      <c r="E56" s="25">
        <v>1.4871000000000001</v>
      </c>
      <c r="F56" s="27">
        <v>1.6352</v>
      </c>
      <c r="G56" s="25">
        <v>1.2735000000000001</v>
      </c>
      <c r="H56" s="27">
        <v>1.5450999999999999</v>
      </c>
      <c r="I56" s="25">
        <v>1.5064</v>
      </c>
      <c r="J56" s="27">
        <v>1.4302999999999999</v>
      </c>
      <c r="K56" s="25">
        <v>1.7277</v>
      </c>
      <c r="L56" s="27">
        <v>1.6697</v>
      </c>
      <c r="M56" s="25">
        <v>1.7666999999999999</v>
      </c>
      <c r="N56" s="27">
        <v>1.3354999999999999</v>
      </c>
      <c r="O56" s="25">
        <v>1.4106000000000001</v>
      </c>
      <c r="P56" s="27">
        <v>1.4036</v>
      </c>
      <c r="Q56" s="25">
        <v>1.2863</v>
      </c>
      <c r="R56" s="27">
        <v>1.5301</v>
      </c>
      <c r="S56" s="25">
        <v>1.7269000000000001</v>
      </c>
      <c r="T56" s="27">
        <v>1.3864000000000001</v>
      </c>
      <c r="U56" s="25">
        <v>1.4185000000000001</v>
      </c>
      <c r="V56" s="27">
        <v>1.4412</v>
      </c>
      <c r="W56" s="25">
        <v>1.5051000000000001</v>
      </c>
      <c r="X56" s="27">
        <v>1.5935999999999999</v>
      </c>
      <c r="Y56" s="25">
        <v>1.4333</v>
      </c>
      <c r="Z56" s="27">
        <v>1.5243</v>
      </c>
      <c r="AA56" s="25">
        <v>1.3663000000000001</v>
      </c>
      <c r="AB56" s="27">
        <v>1.5458000000000001</v>
      </c>
      <c r="AC56" s="25">
        <v>1.6899</v>
      </c>
      <c r="AD56" s="27">
        <v>1.3446</v>
      </c>
      <c r="AE56" s="25">
        <v>1.0931</v>
      </c>
      <c r="AF56" s="27">
        <v>1.5059</v>
      </c>
      <c r="AG56" s="25">
        <v>1.2725</v>
      </c>
      <c r="AH56" s="27">
        <v>1.4505999999999999</v>
      </c>
      <c r="AI56" s="25">
        <v>1.506</v>
      </c>
      <c r="AJ56" s="27">
        <v>1.4602999999999999</v>
      </c>
      <c r="AK56" s="25">
        <v>1.3134999999999999</v>
      </c>
      <c r="AL56" s="27">
        <v>1.7014</v>
      </c>
      <c r="AM56" s="25">
        <v>1.4373</v>
      </c>
      <c r="AN56" s="27">
        <v>1.6738</v>
      </c>
      <c r="AO56" s="25">
        <v>1.5512999999999999</v>
      </c>
      <c r="AP56" s="27">
        <v>1.5392999999999999</v>
      </c>
      <c r="AQ56" s="25">
        <v>1.7930999999999999</v>
      </c>
      <c r="AR56" s="27">
        <v>1.5663</v>
      </c>
      <c r="AS56" s="25">
        <v>1.7394000000000001</v>
      </c>
      <c r="AT56" s="27">
        <v>1.6536</v>
      </c>
      <c r="AU56" s="25">
        <v>1.8220000000000001</v>
      </c>
    </row>
    <row r="57" spans="2:47" x14ac:dyDescent="0.15">
      <c r="B57" s="36" t="s">
        <v>112</v>
      </c>
      <c r="C57" s="25">
        <v>1.6744000000000001</v>
      </c>
      <c r="D57" s="27">
        <v>1.6074999999999999</v>
      </c>
      <c r="E57" s="25">
        <v>1.4932000000000001</v>
      </c>
      <c r="F57" s="27">
        <v>1.3841000000000001</v>
      </c>
      <c r="G57" s="25">
        <v>1.5265</v>
      </c>
      <c r="H57" s="27">
        <v>1.3573999999999999</v>
      </c>
      <c r="I57" s="25">
        <v>1.8366</v>
      </c>
      <c r="J57" s="27">
        <v>1.6637</v>
      </c>
      <c r="K57" s="25">
        <v>1.5355000000000001</v>
      </c>
      <c r="L57" s="27">
        <v>1.5088999999999999</v>
      </c>
      <c r="M57" s="25">
        <v>1.4278</v>
      </c>
      <c r="N57" s="27">
        <v>1.5777000000000001</v>
      </c>
      <c r="O57" s="25">
        <v>1.4447000000000001</v>
      </c>
      <c r="P57" s="27">
        <v>1.5892999999999999</v>
      </c>
      <c r="Q57" s="25">
        <v>1.5995999999999999</v>
      </c>
      <c r="R57" s="27">
        <v>1.5170999999999999</v>
      </c>
      <c r="S57" s="25">
        <v>1.3956999999999999</v>
      </c>
      <c r="T57" s="27">
        <v>1.3057000000000001</v>
      </c>
      <c r="U57" s="25">
        <v>1.6540999999999999</v>
      </c>
      <c r="V57" s="27">
        <v>1.2361</v>
      </c>
      <c r="W57" s="25">
        <v>1.3485</v>
      </c>
      <c r="X57" s="27">
        <v>1.6583000000000001</v>
      </c>
      <c r="Y57" s="25">
        <v>1.5550999999999999</v>
      </c>
      <c r="Z57" s="27">
        <v>1.5705</v>
      </c>
      <c r="AA57" s="25">
        <v>1.6240000000000001</v>
      </c>
      <c r="AB57" s="27">
        <v>1.4538</v>
      </c>
      <c r="AC57" s="25">
        <v>1.583</v>
      </c>
      <c r="AD57" s="27">
        <v>1.4722999999999999</v>
      </c>
      <c r="AE57" s="25">
        <v>1.4072</v>
      </c>
      <c r="AF57" s="27">
        <v>1.5124</v>
      </c>
      <c r="AG57" s="25">
        <v>1.5945</v>
      </c>
      <c r="AH57" s="27">
        <v>1.6173999999999999</v>
      </c>
      <c r="AI57" s="25">
        <v>1.6231</v>
      </c>
      <c r="AJ57" s="27">
        <v>1.5808</v>
      </c>
      <c r="AK57" s="25">
        <v>1.4953000000000001</v>
      </c>
      <c r="AL57" s="27">
        <v>1.4026000000000001</v>
      </c>
      <c r="AM57" s="25">
        <v>1.5139</v>
      </c>
      <c r="AN57" s="27">
        <v>1.5047999999999999</v>
      </c>
      <c r="AO57" s="25">
        <v>1.825</v>
      </c>
      <c r="AP57" s="27">
        <v>1.6738</v>
      </c>
      <c r="AQ57" s="25">
        <v>1.7344999999999999</v>
      </c>
      <c r="AR57" s="27">
        <v>1.4910000000000001</v>
      </c>
      <c r="AS57" s="25">
        <v>1.6832</v>
      </c>
      <c r="AT57" s="27">
        <v>1.9134</v>
      </c>
      <c r="AU57" s="25">
        <v>1.7915000000000001</v>
      </c>
    </row>
    <row r="58" spans="2:47" x14ac:dyDescent="0.15">
      <c r="B58" s="36" t="s">
        <v>113</v>
      </c>
      <c r="C58" s="25">
        <v>1.4573</v>
      </c>
      <c r="D58" s="27">
        <v>1.4665999999999999</v>
      </c>
      <c r="E58" s="25">
        <v>1.4323999999999999</v>
      </c>
      <c r="F58" s="27">
        <v>1.2830999999999999</v>
      </c>
      <c r="G58" s="25">
        <v>1.4362999999999999</v>
      </c>
      <c r="H58" s="27">
        <v>1.3281000000000001</v>
      </c>
      <c r="I58" s="25">
        <v>1.4177</v>
      </c>
      <c r="J58" s="27">
        <v>1.6067</v>
      </c>
      <c r="K58" s="25">
        <v>1.5176000000000001</v>
      </c>
      <c r="L58" s="27">
        <v>1.4626999999999999</v>
      </c>
      <c r="M58" s="25">
        <v>1.5928</v>
      </c>
      <c r="N58" s="27">
        <v>1.3908</v>
      </c>
      <c r="O58" s="25">
        <v>1.6397999999999999</v>
      </c>
      <c r="P58" s="27">
        <v>1.6457999999999999</v>
      </c>
      <c r="Q58" s="25">
        <v>1.2497</v>
      </c>
      <c r="R58" s="27">
        <v>1.1839</v>
      </c>
      <c r="S58" s="25">
        <v>1.5014000000000001</v>
      </c>
      <c r="T58" s="27">
        <v>1.621</v>
      </c>
      <c r="U58" s="25">
        <v>1.5116000000000001</v>
      </c>
      <c r="V58" s="27">
        <v>1.3819999999999999</v>
      </c>
      <c r="W58" s="25">
        <v>1.5669999999999999</v>
      </c>
      <c r="X58" s="27">
        <v>1.4973000000000001</v>
      </c>
      <c r="Y58" s="25">
        <v>1.5295000000000001</v>
      </c>
      <c r="Z58" s="27">
        <v>1.5563</v>
      </c>
      <c r="AA58" s="25">
        <v>1.3732</v>
      </c>
      <c r="AB58" s="27">
        <v>1.4302999999999999</v>
      </c>
      <c r="AC58" s="25">
        <v>1.3358000000000001</v>
      </c>
      <c r="AD58" s="27">
        <v>1.6657</v>
      </c>
      <c r="AE58" s="25">
        <v>1.5039</v>
      </c>
      <c r="AF58" s="27">
        <v>1.462</v>
      </c>
      <c r="AG58" s="25">
        <v>1.5397000000000001</v>
      </c>
      <c r="AH58" s="27">
        <v>1.5837000000000001</v>
      </c>
      <c r="AI58" s="25">
        <v>1.5831</v>
      </c>
      <c r="AJ58" s="27">
        <v>1.7111000000000001</v>
      </c>
      <c r="AK58" s="25">
        <v>1.4894000000000001</v>
      </c>
      <c r="AL58" s="27">
        <v>1.2773000000000001</v>
      </c>
      <c r="AM58" s="25">
        <v>1.4807999999999999</v>
      </c>
      <c r="AN58" s="27">
        <v>1.5650999999999999</v>
      </c>
      <c r="AO58" s="25">
        <v>1.4389000000000001</v>
      </c>
      <c r="AP58" s="27">
        <v>1.8697999999999999</v>
      </c>
      <c r="AQ58" s="25">
        <v>1.6391</v>
      </c>
      <c r="AR58" s="27">
        <v>1.7808999999999999</v>
      </c>
      <c r="AS58" s="25">
        <v>1.6677</v>
      </c>
      <c r="AT58" s="27">
        <v>1.7272000000000001</v>
      </c>
      <c r="AU58" s="25">
        <v>1.6744000000000001</v>
      </c>
    </row>
    <row r="59" spans="2:47" x14ac:dyDescent="0.15">
      <c r="B59" s="36" t="s">
        <v>114</v>
      </c>
      <c r="C59" s="25">
        <v>1.6914</v>
      </c>
      <c r="D59" s="27">
        <v>1.6109</v>
      </c>
      <c r="E59" s="25">
        <v>1.5673999999999999</v>
      </c>
      <c r="F59" s="27">
        <v>1.5507</v>
      </c>
      <c r="G59" s="25">
        <v>1.6440999999999999</v>
      </c>
      <c r="H59" s="27">
        <v>1.4198</v>
      </c>
      <c r="I59" s="25">
        <v>1.5144</v>
      </c>
      <c r="J59" s="27">
        <v>1.5519000000000001</v>
      </c>
      <c r="K59" s="25">
        <v>1.3688</v>
      </c>
      <c r="L59" s="27">
        <v>1.522</v>
      </c>
      <c r="M59" s="25">
        <v>1.4180999999999999</v>
      </c>
      <c r="N59" s="27">
        <v>1.7559</v>
      </c>
      <c r="O59" s="25">
        <v>1.1928000000000001</v>
      </c>
      <c r="P59" s="27">
        <v>1.4968999999999999</v>
      </c>
      <c r="Q59" s="25">
        <v>1.5470999999999999</v>
      </c>
      <c r="R59" s="27">
        <v>1.8662000000000001</v>
      </c>
      <c r="S59" s="25">
        <v>1.4449000000000001</v>
      </c>
      <c r="T59" s="27">
        <v>1.5572999999999999</v>
      </c>
      <c r="U59" s="25">
        <v>1.7246999999999999</v>
      </c>
      <c r="V59" s="27">
        <v>1.7601</v>
      </c>
      <c r="W59" s="25">
        <v>1.488</v>
      </c>
      <c r="X59" s="27">
        <v>1.472</v>
      </c>
      <c r="Y59" s="25">
        <v>1.6866000000000001</v>
      </c>
      <c r="Z59" s="27">
        <v>1.5529999999999999</v>
      </c>
      <c r="AA59" s="25">
        <v>1.6887000000000001</v>
      </c>
      <c r="AB59" s="27">
        <v>1.6206</v>
      </c>
      <c r="AC59" s="25">
        <v>1.4187000000000001</v>
      </c>
      <c r="AD59" s="27">
        <v>1.6660999999999999</v>
      </c>
      <c r="AE59" s="25">
        <v>1.5264</v>
      </c>
      <c r="AF59" s="27">
        <v>1.6263000000000001</v>
      </c>
      <c r="AG59" s="25">
        <v>1.5251999999999999</v>
      </c>
      <c r="AH59" s="27">
        <v>1.4962</v>
      </c>
      <c r="AI59" s="25">
        <v>1.6454</v>
      </c>
      <c r="AJ59" s="27">
        <v>1.7313000000000001</v>
      </c>
      <c r="AK59" s="25">
        <v>1.4596</v>
      </c>
      <c r="AL59" s="27">
        <v>1.4540999999999999</v>
      </c>
      <c r="AM59" s="25">
        <v>1.5293000000000001</v>
      </c>
      <c r="AN59" s="27">
        <v>1.7473000000000001</v>
      </c>
      <c r="AO59" s="25">
        <v>1.6557999999999999</v>
      </c>
      <c r="AP59" s="27">
        <v>1.5036</v>
      </c>
      <c r="AQ59" s="25">
        <v>1.7790999999999999</v>
      </c>
      <c r="AR59" s="27">
        <v>1.5504</v>
      </c>
      <c r="AS59" s="25">
        <v>1.7974000000000001</v>
      </c>
      <c r="AT59" s="27">
        <v>1.4370000000000001</v>
      </c>
      <c r="AU59" s="25">
        <v>1.9403999999999999</v>
      </c>
    </row>
  </sheetData>
  <mergeCells count="1">
    <mergeCell ref="A2:N2"/>
  </mergeCells>
  <dataValidations count="9">
    <dataValidation type="list" allowBlank="1" showInputMessage="1" sqref="AC14:AC17" xr:uid="{AB0905C5-7E51-4DCB-8FBA-3CA3841179D8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ID" prompt="Enter a unique process step ID for each shape in the diagram." sqref="Y13" xr:uid="{7B562D5B-A385-4B43-B7D8-56EECFABBE3C}"/>
    <dataValidation allowBlank="1" showInputMessage="1" showErrorMessage="1" promptTitle="Process Step Description" prompt="Enter text for the process step that will appear in the shape." sqref="Z13" xr:uid="{1B70C7B7-D9B1-44A9-84F1-4FF8CF662FC8}"/>
    <dataValidation allowBlank="1" showInputMessage="1" showErrorMessage="1" promptTitle="Next Step ID" prompt="Enter the process step ID for the next step. Use commas to separate multiple next steps, such as &quot;P600,P700&quot;." sqref="AA13" xr:uid="{88EA58CF-D972-428E-B9B9-62ED73CDBCE5}"/>
    <dataValidation allowBlank="1" showInputMessage="1" showErrorMessage="1" promptTitle="Connector Label" prompt="If desired, label the connector to the next step. Use commas to separate multiple next steps, such as &quot;Yes,No&quot;." sqref="AB13" xr:uid="{FD1BD826-BE40-4CBD-BE4E-5A36BB1B2B8A}"/>
    <dataValidation allowBlank="1" showInputMessage="1" showErrorMessage="1" promptTitle="Shape Type" prompt="Enter the type of shape you'd like each process step to use." sqref="AC13" xr:uid="{E5D7E6CE-A622-4B81-937A-1558808267B2}"/>
    <dataValidation allowBlank="1" showInputMessage="1" showErrorMessage="1" promptTitle="Function" prompt="Enter the name of the function that the process step applies to. This creates swimlanes." sqref="AD13" xr:uid="{E0FF0B38-C092-486A-9B31-02E5E6DACDA2}"/>
    <dataValidation allowBlank="1" showInputMessage="1" showErrorMessage="1" promptTitle="Phase" prompt="Enter the name of the phase that the process step applies to." sqref="AE13" xr:uid="{2F1D6CC6-2EBD-4B39-AA63-C73E5C10851D}"/>
    <dataValidation allowBlank="1" showInputMessage="1" showErrorMessage="1" promptTitle="Alt Text" prompt="Alt Text helps people with visual impairments understand your diagram. Describe each process step." sqref="AF13" xr:uid="{DE6BFBF6-3986-4718-B02C-1D0B89FFC8D2}"/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B39B-B76D-4DFA-92D4-51EA1C1C5D45}">
  <dimension ref="A1:N124"/>
  <sheetViews>
    <sheetView topLeftCell="A75" zoomScale="130" zoomScaleNormal="130" workbookViewId="0">
      <selection activeCell="E110" sqref="E110"/>
    </sheetView>
  </sheetViews>
  <sheetFormatPr defaultRowHeight="14.25" x14ac:dyDescent="0.15"/>
  <cols>
    <col min="1" max="1" width="12.125" customWidth="1"/>
    <col min="5" max="5" width="10.375" bestFit="1" customWidth="1"/>
    <col min="6" max="6" width="19.5" bestFit="1" customWidth="1"/>
    <col min="7" max="7" width="35.625" bestFit="1" customWidth="1"/>
    <col min="8" max="8" width="13.375" bestFit="1" customWidth="1"/>
    <col min="9" max="14" width="12.5" bestFit="1" customWidth="1"/>
  </cols>
  <sheetData>
    <row r="1" spans="1:7" ht="57" x14ac:dyDescent="0.15">
      <c r="A1" s="1" t="s">
        <v>185</v>
      </c>
      <c r="B1" s="1" t="s">
        <v>186</v>
      </c>
      <c r="C1" t="s">
        <v>189</v>
      </c>
      <c r="D1" t="s">
        <v>190</v>
      </c>
    </row>
    <row r="2" spans="1:7" x14ac:dyDescent="0.15">
      <c r="A2">
        <v>3</v>
      </c>
      <c r="B2">
        <v>5</v>
      </c>
      <c r="C2" cm="1">
        <f t="array" ref="C2:C34">A2:A34-F2</f>
        <v>-30.454545454545453</v>
      </c>
      <c r="D2" cm="1">
        <f t="array" ref="D2:D34">B2:B34-F3</f>
        <v>-29.060606060606062</v>
      </c>
      <c r="E2" t="s">
        <v>187</v>
      </c>
      <c r="F2">
        <f>AVERAGE(A2:A34)</f>
        <v>33.454545454545453</v>
      </c>
    </row>
    <row r="3" spans="1:7" x14ac:dyDescent="0.15">
      <c r="A3">
        <v>7</v>
      </c>
      <c r="B3">
        <v>11</v>
      </c>
      <c r="C3">
        <v>-26.454545454545453</v>
      </c>
      <c r="D3">
        <v>-23.060606060606062</v>
      </c>
      <c r="E3" t="s">
        <v>188</v>
      </c>
      <c r="F3">
        <f>AVERAGE(B2:B34)</f>
        <v>34.060606060606062</v>
      </c>
    </row>
    <row r="4" spans="1:7" x14ac:dyDescent="0.15">
      <c r="A4">
        <v>11</v>
      </c>
      <c r="B4">
        <v>21</v>
      </c>
      <c r="C4">
        <v>-22.454545454545453</v>
      </c>
      <c r="D4">
        <v>-13.060606060606062</v>
      </c>
    </row>
    <row r="5" spans="1:7" ht="18.75" x14ac:dyDescent="0.3">
      <c r="A5">
        <v>15</v>
      </c>
      <c r="B5">
        <v>16</v>
      </c>
      <c r="C5">
        <v>-18.454545454545453</v>
      </c>
      <c r="D5">
        <v>-18.060606060606062</v>
      </c>
      <c r="F5" t="s">
        <v>191</v>
      </c>
      <c r="G5" cm="1">
        <f t="array" ref="G5">SUM(_xlfn.ANCHORARRAY(C2)*_xlfn.ANCHORARRAY(D2))/SUM((A2:A34-F2)^2)</f>
        <v>0.90364321057932284</v>
      </c>
    </row>
    <row r="6" spans="1:7" ht="18.75" x14ac:dyDescent="0.3">
      <c r="A6">
        <v>18</v>
      </c>
      <c r="B6">
        <v>16</v>
      </c>
      <c r="C6">
        <v>-15.454545454545453</v>
      </c>
      <c r="D6">
        <v>-18.060606060606062</v>
      </c>
      <c r="F6" t="s">
        <v>192</v>
      </c>
      <c r="G6">
        <f>F3-G5*F2</f>
        <v>3.8296331975887163</v>
      </c>
    </row>
    <row r="7" spans="1:7" x14ac:dyDescent="0.15">
      <c r="A7">
        <v>27</v>
      </c>
      <c r="B7">
        <v>28</v>
      </c>
      <c r="C7">
        <v>-6.4545454545454533</v>
      </c>
      <c r="D7">
        <v>-6.0606060606060623</v>
      </c>
    </row>
    <row r="8" spans="1:7" x14ac:dyDescent="0.15">
      <c r="A8">
        <v>29</v>
      </c>
      <c r="B8">
        <v>27</v>
      </c>
      <c r="C8">
        <v>-4.4545454545454533</v>
      </c>
      <c r="D8">
        <v>-7.0606060606060623</v>
      </c>
      <c r="F8" t="s">
        <v>200</v>
      </c>
    </row>
    <row r="9" spans="1:7" ht="15" thickBot="1" x14ac:dyDescent="0.2">
      <c r="A9">
        <v>30</v>
      </c>
      <c r="B9">
        <v>25</v>
      </c>
      <c r="C9">
        <v>-3.4545454545454533</v>
      </c>
      <c r="D9">
        <v>-9.0606060606060623</v>
      </c>
    </row>
    <row r="10" spans="1:7" x14ac:dyDescent="0.15">
      <c r="A10">
        <v>30</v>
      </c>
      <c r="B10">
        <v>35</v>
      </c>
      <c r="C10">
        <v>-3.4545454545454533</v>
      </c>
      <c r="D10">
        <v>0.93939393939393767</v>
      </c>
      <c r="F10" s="42" t="s">
        <v>201</v>
      </c>
      <c r="G10" s="42"/>
    </row>
    <row r="11" spans="1:7" x14ac:dyDescent="0.15">
      <c r="A11">
        <v>31</v>
      </c>
      <c r="B11">
        <v>30</v>
      </c>
      <c r="C11">
        <v>-2.4545454545454533</v>
      </c>
      <c r="D11">
        <v>-4.0606060606060623</v>
      </c>
      <c r="F11" t="s">
        <v>202</v>
      </c>
      <c r="G11">
        <v>0.95547935666574535</v>
      </c>
    </row>
    <row r="12" spans="1:7" x14ac:dyDescent="0.15">
      <c r="A12">
        <v>31</v>
      </c>
      <c r="B12">
        <v>40</v>
      </c>
      <c r="C12">
        <v>-2.4545454545454533</v>
      </c>
      <c r="D12">
        <v>5.9393939393939377</v>
      </c>
      <c r="F12" t="s">
        <v>203</v>
      </c>
      <c r="G12">
        <v>0.91294080101438657</v>
      </c>
    </row>
    <row r="13" spans="1:7" x14ac:dyDescent="0.15">
      <c r="A13">
        <v>32</v>
      </c>
      <c r="B13">
        <v>32</v>
      </c>
      <c r="C13">
        <v>-1.4545454545454533</v>
      </c>
      <c r="D13">
        <v>-2.0606060606060623</v>
      </c>
      <c r="F13" t="s">
        <v>204</v>
      </c>
      <c r="G13">
        <v>0.91013243975678615</v>
      </c>
    </row>
    <row r="14" spans="1:7" x14ac:dyDescent="0.15">
      <c r="A14">
        <v>33</v>
      </c>
      <c r="B14">
        <v>34</v>
      </c>
      <c r="C14">
        <v>-0.45454545454545325</v>
      </c>
      <c r="D14">
        <v>-6.0606060606062329E-2</v>
      </c>
      <c r="F14" t="s">
        <v>205</v>
      </c>
      <c r="G14">
        <v>3.2295376299561589</v>
      </c>
    </row>
    <row r="15" spans="1:7" ht="15" thickBot="1" x14ac:dyDescent="0.2">
      <c r="A15">
        <v>33</v>
      </c>
      <c r="B15">
        <v>32</v>
      </c>
      <c r="C15">
        <v>-0.45454545454545325</v>
      </c>
      <c r="D15">
        <v>-2.0606060606060623</v>
      </c>
      <c r="F15" s="16" t="s">
        <v>59</v>
      </c>
      <c r="G15" s="16">
        <v>33</v>
      </c>
    </row>
    <row r="16" spans="1:7" x14ac:dyDescent="0.15">
      <c r="A16">
        <v>34</v>
      </c>
      <c r="B16">
        <v>34</v>
      </c>
      <c r="C16">
        <v>0.54545454545454675</v>
      </c>
      <c r="D16">
        <v>-6.0606060606062329E-2</v>
      </c>
    </row>
    <row r="17" spans="1:14" ht="15" thickBot="1" x14ac:dyDescent="0.2">
      <c r="A17">
        <v>36</v>
      </c>
      <c r="B17">
        <v>37</v>
      </c>
      <c r="C17">
        <v>2.5454545454545467</v>
      </c>
      <c r="D17">
        <v>2.9393939393939377</v>
      </c>
      <c r="F17" t="s">
        <v>206</v>
      </c>
    </row>
    <row r="18" spans="1:14" x14ac:dyDescent="0.15">
      <c r="A18">
        <v>36</v>
      </c>
      <c r="B18">
        <v>38</v>
      </c>
      <c r="C18">
        <v>2.5454545454545467</v>
      </c>
      <c r="D18">
        <v>3.9393939393939377</v>
      </c>
      <c r="F18" s="17"/>
      <c r="G18" s="17" t="s">
        <v>62</v>
      </c>
      <c r="H18" s="17" t="s">
        <v>210</v>
      </c>
      <c r="I18" s="17" t="s">
        <v>211</v>
      </c>
      <c r="J18" s="17" t="s">
        <v>128</v>
      </c>
      <c r="K18" s="17" t="s">
        <v>212</v>
      </c>
    </row>
    <row r="19" spans="1:14" x14ac:dyDescent="0.15">
      <c r="A19">
        <v>36</v>
      </c>
      <c r="B19">
        <v>34</v>
      </c>
      <c r="C19">
        <v>2.5454545454545467</v>
      </c>
      <c r="D19">
        <v>-6.0606060606062329E-2</v>
      </c>
      <c r="F19" t="s">
        <v>207</v>
      </c>
      <c r="G19">
        <v>1</v>
      </c>
      <c r="H19">
        <v>3390.5514754764008</v>
      </c>
      <c r="I19">
        <v>3390.5514754764008</v>
      </c>
      <c r="J19">
        <v>325.079545426587</v>
      </c>
      <c r="K19">
        <v>5.4754122148242569E-18</v>
      </c>
    </row>
    <row r="20" spans="1:14" x14ac:dyDescent="0.15">
      <c r="A20">
        <v>37</v>
      </c>
      <c r="B20">
        <v>36</v>
      </c>
      <c r="C20">
        <v>3.5454545454545467</v>
      </c>
      <c r="D20">
        <v>1.9393939393939377</v>
      </c>
      <c r="F20" t="s">
        <v>208</v>
      </c>
      <c r="G20">
        <v>31</v>
      </c>
      <c r="H20">
        <v>323.32731240238815</v>
      </c>
      <c r="I20">
        <v>10.429913303302843</v>
      </c>
    </row>
    <row r="21" spans="1:14" ht="15" thickBot="1" x14ac:dyDescent="0.2">
      <c r="A21">
        <v>38</v>
      </c>
      <c r="B21">
        <v>38</v>
      </c>
      <c r="C21">
        <v>4.5454545454545467</v>
      </c>
      <c r="D21">
        <v>3.9393939393939377</v>
      </c>
      <c r="F21" s="16" t="s">
        <v>85</v>
      </c>
      <c r="G21" s="16">
        <v>32</v>
      </c>
      <c r="H21" s="16">
        <v>3713.8787878787889</v>
      </c>
      <c r="I21" s="16"/>
      <c r="J21" s="16"/>
      <c r="K21" s="16"/>
    </row>
    <row r="22" spans="1:14" ht="15" thickBot="1" x14ac:dyDescent="0.2">
      <c r="A22">
        <v>39</v>
      </c>
      <c r="B22">
        <v>37</v>
      </c>
      <c r="C22">
        <v>5.5454545454545467</v>
      </c>
      <c r="D22">
        <v>2.9393939393939377</v>
      </c>
    </row>
    <row r="23" spans="1:14" x14ac:dyDescent="0.15">
      <c r="A23">
        <v>39</v>
      </c>
      <c r="B23">
        <v>36</v>
      </c>
      <c r="C23">
        <v>5.5454545454545467</v>
      </c>
      <c r="D23">
        <v>1.9393939393939377</v>
      </c>
      <c r="F23" s="17"/>
      <c r="G23" s="17" t="s">
        <v>213</v>
      </c>
      <c r="H23" s="17" t="s">
        <v>205</v>
      </c>
      <c r="I23" s="17" t="s">
        <v>63</v>
      </c>
      <c r="J23" s="17" t="s">
        <v>137</v>
      </c>
      <c r="K23" s="17" t="s">
        <v>214</v>
      </c>
      <c r="L23" s="17" t="s">
        <v>215</v>
      </c>
      <c r="M23" s="17" t="s">
        <v>216</v>
      </c>
      <c r="N23" s="17" t="s">
        <v>217</v>
      </c>
    </row>
    <row r="24" spans="1:14" x14ac:dyDescent="0.15">
      <c r="A24">
        <v>39</v>
      </c>
      <c r="B24">
        <v>45</v>
      </c>
      <c r="C24">
        <v>5.5454545454545467</v>
      </c>
      <c r="D24">
        <v>10.939393939393938</v>
      </c>
      <c r="F24" t="s">
        <v>209</v>
      </c>
      <c r="G24">
        <v>3.8296331975886844</v>
      </c>
      <c r="H24">
        <v>1.7684473272506547</v>
      </c>
      <c r="I24">
        <v>2.1655342166975853</v>
      </c>
      <c r="J24">
        <v>3.8158335638881116E-2</v>
      </c>
      <c r="K24">
        <v>0.22286109441718471</v>
      </c>
      <c r="L24">
        <v>7.4364053007601836</v>
      </c>
      <c r="M24">
        <v>0.22286109441718471</v>
      </c>
      <c r="N24">
        <v>7.4364053007601836</v>
      </c>
    </row>
    <row r="25" spans="1:14" ht="15" thickBot="1" x14ac:dyDescent="0.2">
      <c r="A25">
        <v>40</v>
      </c>
      <c r="B25">
        <v>39</v>
      </c>
      <c r="C25">
        <v>6.5454545454545467</v>
      </c>
      <c r="D25">
        <v>4.9393939393939377</v>
      </c>
      <c r="F25" s="16" t="s">
        <v>185</v>
      </c>
      <c r="G25" s="16">
        <v>0.90364321057932384</v>
      </c>
      <c r="H25" s="16">
        <v>5.0118973559182052E-2</v>
      </c>
      <c r="I25" s="16">
        <v>18.029962435529004</v>
      </c>
      <c r="J25" s="16">
        <v>5.4754122148242569E-18</v>
      </c>
      <c r="K25" s="16">
        <v>0.80142489008578599</v>
      </c>
      <c r="L25" s="16">
        <v>1.0058615310728616</v>
      </c>
      <c r="M25" s="16">
        <v>0.80142489008578599</v>
      </c>
      <c r="N25" s="16">
        <v>1.0058615310728616</v>
      </c>
    </row>
    <row r="26" spans="1:14" x14ac:dyDescent="0.15">
      <c r="A26">
        <v>41</v>
      </c>
      <c r="B26">
        <v>41</v>
      </c>
      <c r="C26">
        <v>7.5454545454545467</v>
      </c>
      <c r="D26">
        <v>6.9393939393939377</v>
      </c>
    </row>
    <row r="27" spans="1:14" x14ac:dyDescent="0.15">
      <c r="A27">
        <v>42</v>
      </c>
      <c r="B27">
        <v>40</v>
      </c>
      <c r="C27">
        <v>8.5454545454545467</v>
      </c>
      <c r="D27">
        <v>5.9393939393939377</v>
      </c>
    </row>
    <row r="28" spans="1:14" x14ac:dyDescent="0.15">
      <c r="A28">
        <v>42</v>
      </c>
      <c r="B28">
        <v>44</v>
      </c>
      <c r="C28">
        <v>8.5454545454545467</v>
      </c>
      <c r="D28">
        <v>9.9393939393939377</v>
      </c>
    </row>
    <row r="29" spans="1:14" x14ac:dyDescent="0.15">
      <c r="A29">
        <v>43</v>
      </c>
      <c r="B29">
        <v>37</v>
      </c>
      <c r="C29">
        <v>9.5454545454545467</v>
      </c>
      <c r="D29">
        <v>2.9393939393939377</v>
      </c>
      <c r="F29" t="s">
        <v>219</v>
      </c>
      <c r="J29" t="s">
        <v>218</v>
      </c>
    </row>
    <row r="30" spans="1:14" ht="15" thickBot="1" x14ac:dyDescent="0.2">
      <c r="A30">
        <v>44</v>
      </c>
      <c r="B30">
        <v>44</v>
      </c>
      <c r="C30">
        <v>10.545454545454547</v>
      </c>
      <c r="D30">
        <v>9.9393939393939377</v>
      </c>
    </row>
    <row r="31" spans="1:14" x14ac:dyDescent="0.15">
      <c r="A31">
        <v>45</v>
      </c>
      <c r="B31">
        <v>46</v>
      </c>
      <c r="C31">
        <v>11.545454545454547</v>
      </c>
      <c r="D31">
        <v>11.939393939393938</v>
      </c>
      <c r="F31" s="17" t="s">
        <v>220</v>
      </c>
      <c r="G31" s="17" t="s">
        <v>221</v>
      </c>
      <c r="H31" s="17" t="s">
        <v>222</v>
      </c>
      <c r="J31" s="17" t="s">
        <v>170</v>
      </c>
      <c r="K31" s="17" t="s">
        <v>186</v>
      </c>
    </row>
    <row r="32" spans="1:14" x14ac:dyDescent="0.15">
      <c r="A32">
        <v>46</v>
      </c>
      <c r="B32">
        <v>46</v>
      </c>
      <c r="C32">
        <v>12.545454545454547</v>
      </c>
      <c r="D32">
        <v>11.939393939393938</v>
      </c>
      <c r="F32">
        <v>1</v>
      </c>
      <c r="G32">
        <v>6.5405628293266558</v>
      </c>
      <c r="H32">
        <v>-1.5405628293266558</v>
      </c>
      <c r="J32">
        <v>1.5151515151515151</v>
      </c>
      <c r="K32">
        <v>5</v>
      </c>
    </row>
    <row r="33" spans="1:11" x14ac:dyDescent="0.15">
      <c r="A33">
        <v>47</v>
      </c>
      <c r="B33">
        <v>49</v>
      </c>
      <c r="C33">
        <v>13.545454545454547</v>
      </c>
      <c r="D33">
        <v>14.939393939393938</v>
      </c>
      <c r="F33">
        <v>2</v>
      </c>
      <c r="G33">
        <v>10.155135671643951</v>
      </c>
      <c r="H33">
        <v>0.8448643283560493</v>
      </c>
      <c r="J33">
        <v>4.545454545454545</v>
      </c>
      <c r="K33">
        <v>11</v>
      </c>
    </row>
    <row r="34" spans="1:11" x14ac:dyDescent="0.15">
      <c r="A34">
        <v>50</v>
      </c>
      <c r="B34">
        <v>51</v>
      </c>
      <c r="C34">
        <v>16.545454545454547</v>
      </c>
      <c r="D34">
        <v>16.939393939393938</v>
      </c>
      <c r="F34">
        <v>3</v>
      </c>
      <c r="G34">
        <v>13.769708513961247</v>
      </c>
      <c r="H34">
        <v>7.2302914860387535</v>
      </c>
      <c r="J34">
        <v>7.5757575757575761</v>
      </c>
      <c r="K34">
        <v>16</v>
      </c>
    </row>
    <row r="35" spans="1:11" x14ac:dyDescent="0.15">
      <c r="F35">
        <v>4</v>
      </c>
      <c r="G35">
        <v>17.384281356278542</v>
      </c>
      <c r="H35">
        <v>-1.3842813562785423</v>
      </c>
      <c r="J35">
        <v>10.606060606060606</v>
      </c>
      <c r="K35">
        <v>16</v>
      </c>
    </row>
    <row r="36" spans="1:11" x14ac:dyDescent="0.15">
      <c r="F36">
        <v>5</v>
      </c>
      <c r="G36">
        <v>20.095210988016515</v>
      </c>
      <c r="H36">
        <v>-4.0952109880165146</v>
      </c>
      <c r="J36">
        <v>13.636363636363637</v>
      </c>
      <c r="K36">
        <v>21</v>
      </c>
    </row>
    <row r="37" spans="1:11" x14ac:dyDescent="0.15">
      <c r="F37">
        <v>6</v>
      </c>
      <c r="G37">
        <v>28.227999883230428</v>
      </c>
      <c r="H37">
        <v>-0.22799988323042797</v>
      </c>
      <c r="J37">
        <v>16.666666666666668</v>
      </c>
      <c r="K37">
        <v>25</v>
      </c>
    </row>
    <row r="38" spans="1:11" x14ac:dyDescent="0.15">
      <c r="F38">
        <v>7</v>
      </c>
      <c r="G38">
        <v>30.035286304389075</v>
      </c>
      <c r="H38">
        <v>-3.035286304389075</v>
      </c>
      <c r="J38">
        <v>19.696969696969695</v>
      </c>
      <c r="K38">
        <v>27</v>
      </c>
    </row>
    <row r="39" spans="1:11" ht="45" x14ac:dyDescent="0.3">
      <c r="A39" t="s">
        <v>193</v>
      </c>
      <c r="B39" s="1" t="s">
        <v>194</v>
      </c>
      <c r="C39" s="1" t="s">
        <v>195</v>
      </c>
      <c r="D39" t="s">
        <v>198</v>
      </c>
      <c r="E39" t="s">
        <v>199</v>
      </c>
      <c r="F39">
        <v>8</v>
      </c>
      <c r="G39">
        <v>30.9389295149684</v>
      </c>
      <c r="H39">
        <v>-5.9389295149684003</v>
      </c>
      <c r="J39">
        <v>22.727272727272727</v>
      </c>
      <c r="K39">
        <v>28</v>
      </c>
    </row>
    <row r="40" spans="1:11" x14ac:dyDescent="0.15">
      <c r="A40">
        <v>1</v>
      </c>
      <c r="B40">
        <v>17.3</v>
      </c>
      <c r="C40">
        <v>71.7</v>
      </c>
      <c r="D40" cm="1">
        <f t="array" ref="D40:D64">B40:B64-B67</f>
        <v>-13.847999999999992</v>
      </c>
      <c r="E40" cm="1">
        <f t="array" ref="E40:E64">C40:C64-B68</f>
        <v>-10.299999999999997</v>
      </c>
      <c r="F40">
        <v>9</v>
      </c>
      <c r="G40">
        <v>30.9389295149684</v>
      </c>
      <c r="H40">
        <v>4.0610704850315997</v>
      </c>
      <c r="J40">
        <v>25.757575757575758</v>
      </c>
      <c r="K40">
        <v>30</v>
      </c>
    </row>
    <row r="41" spans="1:11" x14ac:dyDescent="0.15">
      <c r="A41">
        <v>2</v>
      </c>
      <c r="B41">
        <v>19.3</v>
      </c>
      <c r="C41">
        <v>48.3</v>
      </c>
      <c r="D41">
        <v>-11.847999999999992</v>
      </c>
      <c r="E41">
        <v>-33.700000000000003</v>
      </c>
      <c r="F41">
        <v>10</v>
      </c>
      <c r="G41">
        <v>31.842572725547722</v>
      </c>
      <c r="H41">
        <v>-1.842572725547722</v>
      </c>
      <c r="J41">
        <v>28.787878787878789</v>
      </c>
      <c r="K41">
        <v>32</v>
      </c>
    </row>
    <row r="42" spans="1:11" x14ac:dyDescent="0.15">
      <c r="A42">
        <v>3</v>
      </c>
      <c r="B42">
        <v>19.5</v>
      </c>
      <c r="C42">
        <v>88.3</v>
      </c>
      <c r="D42">
        <v>-11.647999999999993</v>
      </c>
      <c r="E42">
        <v>6.2999999999999972</v>
      </c>
      <c r="F42">
        <v>11</v>
      </c>
      <c r="G42">
        <v>31.842572725547722</v>
      </c>
      <c r="H42">
        <v>8.157427274452278</v>
      </c>
      <c r="J42">
        <v>31.81818181818182</v>
      </c>
      <c r="K42">
        <v>32</v>
      </c>
    </row>
    <row r="43" spans="1:11" x14ac:dyDescent="0.15">
      <c r="A43">
        <v>4</v>
      </c>
      <c r="B43">
        <v>19.7</v>
      </c>
      <c r="C43">
        <v>75</v>
      </c>
      <c r="D43">
        <v>-11.447999999999993</v>
      </c>
      <c r="E43">
        <v>-7</v>
      </c>
      <c r="F43">
        <v>12</v>
      </c>
      <c r="G43">
        <v>32.746215936127044</v>
      </c>
      <c r="H43">
        <v>-0.74621593612704373</v>
      </c>
      <c r="J43">
        <v>34.848484848484851</v>
      </c>
      <c r="K43">
        <v>34</v>
      </c>
    </row>
    <row r="44" spans="1:11" x14ac:dyDescent="0.15">
      <c r="A44">
        <v>5</v>
      </c>
      <c r="B44">
        <v>22.9</v>
      </c>
      <c r="C44">
        <v>91.7</v>
      </c>
      <c r="D44">
        <v>-8.247999999999994</v>
      </c>
      <c r="E44">
        <v>9.7000000000000028</v>
      </c>
      <c r="F44">
        <v>13</v>
      </c>
      <c r="G44">
        <v>33.649859146706376</v>
      </c>
      <c r="H44">
        <v>0.35014085329362388</v>
      </c>
      <c r="J44">
        <v>37.878787878787875</v>
      </c>
      <c r="K44">
        <v>34</v>
      </c>
    </row>
    <row r="45" spans="1:11" x14ac:dyDescent="0.15">
      <c r="A45">
        <v>6</v>
      </c>
      <c r="B45">
        <v>23.1</v>
      </c>
      <c r="C45">
        <v>100</v>
      </c>
      <c r="D45">
        <v>-8.0479999999999912</v>
      </c>
      <c r="E45">
        <v>18</v>
      </c>
      <c r="F45">
        <v>14</v>
      </c>
      <c r="G45">
        <v>33.649859146706376</v>
      </c>
      <c r="H45">
        <v>-1.6498591467063761</v>
      </c>
      <c r="J45">
        <v>40.909090909090907</v>
      </c>
      <c r="K45">
        <v>34</v>
      </c>
    </row>
    <row r="46" spans="1:11" x14ac:dyDescent="0.15">
      <c r="A46">
        <v>7</v>
      </c>
      <c r="B46">
        <v>26.4</v>
      </c>
      <c r="C46">
        <v>73.3</v>
      </c>
      <c r="D46">
        <v>-4.747999999999994</v>
      </c>
      <c r="E46">
        <v>-8.7000000000000028</v>
      </c>
      <c r="F46">
        <v>15</v>
      </c>
      <c r="G46">
        <v>34.553502357285694</v>
      </c>
      <c r="H46">
        <v>-0.5535023572856943</v>
      </c>
      <c r="J46">
        <v>43.939393939393938</v>
      </c>
      <c r="K46">
        <v>35</v>
      </c>
    </row>
    <row r="47" spans="1:11" x14ac:dyDescent="0.15">
      <c r="A47">
        <v>8</v>
      </c>
      <c r="B47">
        <v>26.8</v>
      </c>
      <c r="C47">
        <v>65</v>
      </c>
      <c r="D47">
        <v>-4.3479999999999919</v>
      </c>
      <c r="E47">
        <v>-17</v>
      </c>
      <c r="F47">
        <v>16</v>
      </c>
      <c r="G47">
        <v>36.360788778444345</v>
      </c>
      <c r="H47">
        <v>0.63921122155565513</v>
      </c>
      <c r="J47">
        <v>46.969696969696969</v>
      </c>
      <c r="K47">
        <v>36</v>
      </c>
    </row>
    <row r="48" spans="1:11" x14ac:dyDescent="0.15">
      <c r="A48">
        <v>9</v>
      </c>
      <c r="B48">
        <v>27.6</v>
      </c>
      <c r="C48">
        <v>75</v>
      </c>
      <c r="D48">
        <v>-3.5479999999999912</v>
      </c>
      <c r="E48">
        <v>-7</v>
      </c>
      <c r="F48">
        <v>17</v>
      </c>
      <c r="G48">
        <v>36.360788778444345</v>
      </c>
      <c r="H48">
        <v>1.6392112215556551</v>
      </c>
      <c r="J48">
        <v>50</v>
      </c>
      <c r="K48">
        <v>36</v>
      </c>
    </row>
    <row r="49" spans="1:11" x14ac:dyDescent="0.15">
      <c r="A49">
        <v>10</v>
      </c>
      <c r="B49">
        <v>28.1</v>
      </c>
      <c r="C49">
        <v>88.3</v>
      </c>
      <c r="D49">
        <v>-3.0479999999999912</v>
      </c>
      <c r="E49">
        <v>6.2999999999999972</v>
      </c>
      <c r="F49">
        <v>18</v>
      </c>
      <c r="G49">
        <v>36.360788778444345</v>
      </c>
      <c r="H49">
        <v>-2.3607887784443449</v>
      </c>
      <c r="J49">
        <v>53.030303030303031</v>
      </c>
      <c r="K49">
        <v>37</v>
      </c>
    </row>
    <row r="50" spans="1:11" x14ac:dyDescent="0.15">
      <c r="A50">
        <v>11</v>
      </c>
      <c r="B50">
        <v>28.2</v>
      </c>
      <c r="C50">
        <v>68.3</v>
      </c>
      <c r="D50">
        <v>-2.9479999999999933</v>
      </c>
      <c r="E50">
        <v>-13.700000000000003</v>
      </c>
      <c r="F50">
        <v>19</v>
      </c>
      <c r="G50">
        <v>37.264431989023663</v>
      </c>
      <c r="H50">
        <v>-1.264431989023663</v>
      </c>
      <c r="J50">
        <v>56.060606060606062</v>
      </c>
      <c r="K50">
        <v>37</v>
      </c>
    </row>
    <row r="51" spans="1:11" x14ac:dyDescent="0.15">
      <c r="A51">
        <v>12</v>
      </c>
      <c r="B51">
        <v>28.7</v>
      </c>
      <c r="C51">
        <v>96.7</v>
      </c>
      <c r="D51">
        <v>-2.4479999999999933</v>
      </c>
      <c r="E51">
        <v>14.700000000000003</v>
      </c>
      <c r="F51">
        <v>20</v>
      </c>
      <c r="G51">
        <v>38.168075199602988</v>
      </c>
      <c r="H51">
        <v>-0.16807519960298833</v>
      </c>
      <c r="J51">
        <v>59.090909090909093</v>
      </c>
      <c r="K51">
        <v>37</v>
      </c>
    </row>
    <row r="52" spans="1:11" x14ac:dyDescent="0.15">
      <c r="A52">
        <v>13</v>
      </c>
      <c r="B52">
        <v>29</v>
      </c>
      <c r="C52">
        <v>76.7</v>
      </c>
      <c r="D52">
        <v>-2.1479999999999926</v>
      </c>
      <c r="E52">
        <v>-5.2999999999999972</v>
      </c>
      <c r="F52">
        <v>21</v>
      </c>
      <c r="G52">
        <v>39.071718410182314</v>
      </c>
      <c r="H52">
        <v>-2.0717184101823136</v>
      </c>
      <c r="J52">
        <v>62.121212121212125</v>
      </c>
      <c r="K52">
        <v>38</v>
      </c>
    </row>
    <row r="53" spans="1:11" x14ac:dyDescent="0.15">
      <c r="A53">
        <v>14</v>
      </c>
      <c r="B53">
        <v>29.6</v>
      </c>
      <c r="C53">
        <v>78.3</v>
      </c>
      <c r="D53">
        <v>-1.5479999999999912</v>
      </c>
      <c r="E53">
        <v>-3.7000000000000028</v>
      </c>
      <c r="F53">
        <v>22</v>
      </c>
      <c r="G53">
        <v>39.071718410182314</v>
      </c>
      <c r="H53">
        <v>-3.0717184101823136</v>
      </c>
      <c r="J53">
        <v>65.151515151515142</v>
      </c>
      <c r="K53">
        <v>38</v>
      </c>
    </row>
    <row r="54" spans="1:11" x14ac:dyDescent="0.15">
      <c r="A54">
        <v>15</v>
      </c>
      <c r="B54">
        <v>29.9</v>
      </c>
      <c r="C54">
        <v>60</v>
      </c>
      <c r="D54">
        <v>-1.247999999999994</v>
      </c>
      <c r="E54">
        <v>-22</v>
      </c>
      <c r="F54">
        <v>23</v>
      </c>
      <c r="G54">
        <v>39.071718410182314</v>
      </c>
      <c r="H54">
        <v>5.9282815898176864</v>
      </c>
      <c r="J54">
        <v>68.181818181818187</v>
      </c>
      <c r="K54">
        <v>39</v>
      </c>
    </row>
    <row r="55" spans="1:11" x14ac:dyDescent="0.15">
      <c r="A55">
        <v>16</v>
      </c>
      <c r="B55">
        <v>29.9</v>
      </c>
      <c r="C55">
        <v>71.7</v>
      </c>
      <c r="D55">
        <v>-1.247999999999994</v>
      </c>
      <c r="E55">
        <v>-10.299999999999997</v>
      </c>
      <c r="F55">
        <v>24</v>
      </c>
      <c r="G55">
        <v>39.975361620761639</v>
      </c>
      <c r="H55">
        <v>-0.9753616207616389</v>
      </c>
      <c r="J55">
        <v>71.212121212121218</v>
      </c>
      <c r="K55">
        <v>40</v>
      </c>
    </row>
    <row r="56" spans="1:11" x14ac:dyDescent="0.15">
      <c r="A56">
        <v>17</v>
      </c>
      <c r="B56">
        <v>30.3</v>
      </c>
      <c r="C56">
        <v>85</v>
      </c>
      <c r="D56">
        <v>-0.84799999999999187</v>
      </c>
      <c r="E56">
        <v>3</v>
      </c>
      <c r="F56">
        <v>25</v>
      </c>
      <c r="G56">
        <v>40.879004831340964</v>
      </c>
      <c r="H56">
        <v>0.12099516865903581</v>
      </c>
      <c r="J56">
        <v>74.242424242424235</v>
      </c>
      <c r="K56">
        <v>40</v>
      </c>
    </row>
    <row r="57" spans="1:11" x14ac:dyDescent="0.15">
      <c r="A57">
        <v>18</v>
      </c>
      <c r="B57">
        <v>31.3</v>
      </c>
      <c r="C57">
        <v>85</v>
      </c>
      <c r="D57">
        <v>0.15200000000000813</v>
      </c>
      <c r="E57">
        <v>3</v>
      </c>
      <c r="F57">
        <v>26</v>
      </c>
      <c r="G57">
        <v>41.782648041920282</v>
      </c>
      <c r="H57">
        <v>-1.7826480419202824</v>
      </c>
      <c r="J57">
        <v>77.272727272727266</v>
      </c>
      <c r="K57">
        <v>41</v>
      </c>
    </row>
    <row r="58" spans="1:11" x14ac:dyDescent="0.15">
      <c r="A58">
        <v>19</v>
      </c>
      <c r="B58">
        <v>36</v>
      </c>
      <c r="C58">
        <v>88.3</v>
      </c>
      <c r="D58">
        <v>4.8520000000000074</v>
      </c>
      <c r="E58">
        <v>6.2999999999999972</v>
      </c>
      <c r="F58">
        <v>27</v>
      </c>
      <c r="G58">
        <v>41.782648041920282</v>
      </c>
      <c r="H58">
        <v>2.2173519580797176</v>
      </c>
      <c r="J58">
        <v>80.303030303030297</v>
      </c>
      <c r="K58">
        <v>44</v>
      </c>
    </row>
    <row r="59" spans="1:11" x14ac:dyDescent="0.15">
      <c r="A59">
        <v>20</v>
      </c>
      <c r="B59">
        <v>39.5</v>
      </c>
      <c r="C59">
        <v>100</v>
      </c>
      <c r="D59">
        <v>8.3520000000000074</v>
      </c>
      <c r="E59">
        <v>18</v>
      </c>
      <c r="F59">
        <v>28</v>
      </c>
      <c r="G59">
        <v>42.686291252499608</v>
      </c>
      <c r="H59">
        <v>-5.6862912524996077</v>
      </c>
      <c r="J59">
        <v>83.333333333333329</v>
      </c>
      <c r="K59">
        <v>44</v>
      </c>
    </row>
    <row r="60" spans="1:11" x14ac:dyDescent="0.15">
      <c r="A60">
        <v>21</v>
      </c>
      <c r="B60">
        <v>40.4</v>
      </c>
      <c r="C60">
        <v>100</v>
      </c>
      <c r="D60">
        <v>9.252000000000006</v>
      </c>
      <c r="E60">
        <v>18</v>
      </c>
      <c r="F60">
        <v>29</v>
      </c>
      <c r="G60">
        <v>43.589934463078933</v>
      </c>
      <c r="H60">
        <v>0.41006553692106706</v>
      </c>
      <c r="J60">
        <v>86.36363636363636</v>
      </c>
      <c r="K60">
        <v>45</v>
      </c>
    </row>
    <row r="61" spans="1:11" x14ac:dyDescent="0.15">
      <c r="A61">
        <v>22</v>
      </c>
      <c r="B61">
        <v>44.3</v>
      </c>
      <c r="C61">
        <v>100</v>
      </c>
      <c r="D61">
        <v>13.152000000000005</v>
      </c>
      <c r="E61">
        <v>18</v>
      </c>
      <c r="F61">
        <v>30</v>
      </c>
      <c r="G61">
        <v>44.493577673658258</v>
      </c>
      <c r="H61">
        <v>1.5064223263417418</v>
      </c>
      <c r="J61">
        <v>89.393939393939391</v>
      </c>
      <c r="K61">
        <v>46</v>
      </c>
    </row>
    <row r="62" spans="1:11" x14ac:dyDescent="0.15">
      <c r="A62">
        <v>23</v>
      </c>
      <c r="B62">
        <v>44.6</v>
      </c>
      <c r="C62">
        <v>91.7</v>
      </c>
      <c r="D62">
        <v>13.452000000000009</v>
      </c>
      <c r="E62">
        <v>9.7000000000000028</v>
      </c>
      <c r="F62">
        <v>31</v>
      </c>
      <c r="G62">
        <v>45.397220884237584</v>
      </c>
      <c r="H62">
        <v>0.6027791157624165</v>
      </c>
      <c r="J62">
        <v>92.424242424242422</v>
      </c>
      <c r="K62">
        <v>46</v>
      </c>
    </row>
    <row r="63" spans="1:11" x14ac:dyDescent="0.15">
      <c r="A63">
        <v>24</v>
      </c>
      <c r="B63">
        <v>50.4</v>
      </c>
      <c r="C63">
        <v>100</v>
      </c>
      <c r="D63">
        <v>19.252000000000006</v>
      </c>
      <c r="E63">
        <v>18</v>
      </c>
      <c r="F63">
        <v>32</v>
      </c>
      <c r="G63">
        <v>46.300864094816902</v>
      </c>
      <c r="H63">
        <v>2.6991359051830983</v>
      </c>
      <c r="J63">
        <v>95.454545454545453</v>
      </c>
      <c r="K63">
        <v>49</v>
      </c>
    </row>
    <row r="64" spans="1:11" ht="15" thickBot="1" x14ac:dyDescent="0.2">
      <c r="A64">
        <v>25</v>
      </c>
      <c r="B64">
        <v>55.9</v>
      </c>
      <c r="C64">
        <v>71.7</v>
      </c>
      <c r="D64">
        <v>24.752000000000006</v>
      </c>
      <c r="E64">
        <v>-10.299999999999997</v>
      </c>
      <c r="F64" s="16">
        <v>33</v>
      </c>
      <c r="G64" s="16">
        <v>49.011793726554878</v>
      </c>
      <c r="H64" s="16">
        <v>1.9882062734451225</v>
      </c>
      <c r="J64" s="16">
        <v>98.484848484848484</v>
      </c>
      <c r="K64" s="16">
        <v>51</v>
      </c>
    </row>
    <row r="67" spans="1:2" x14ac:dyDescent="0.15">
      <c r="A67" t="s">
        <v>196</v>
      </c>
      <c r="B67">
        <f>AVERAGE(B40:B64)</f>
        <v>31.147999999999993</v>
      </c>
    </row>
    <row r="68" spans="1:2" x14ac:dyDescent="0.15">
      <c r="A68" t="s">
        <v>197</v>
      </c>
      <c r="B68">
        <f>AVERAGE(C40:C64)</f>
        <v>82</v>
      </c>
    </row>
    <row r="70" spans="1:2" ht="18.75" x14ac:dyDescent="0.3">
      <c r="A70" t="s">
        <v>191</v>
      </c>
      <c r="B70" cm="1">
        <f t="array" ref="B70">SUM(D40:D61*E40:E61)/SUM((B40:B64-B67)^2)</f>
        <v>0.46585928836541923</v>
      </c>
    </row>
    <row r="71" spans="1:2" ht="18.75" x14ac:dyDescent="0.3">
      <c r="A71" t="s">
        <v>192</v>
      </c>
      <c r="B71">
        <f>B68-B70*B67</f>
        <v>67.489414885993924</v>
      </c>
    </row>
    <row r="76" spans="1:2" x14ac:dyDescent="0.15">
      <c r="A76" t="s">
        <v>200</v>
      </c>
    </row>
    <row r="77" spans="1:2" ht="15" thickBot="1" x14ac:dyDescent="0.2"/>
    <row r="78" spans="1:2" x14ac:dyDescent="0.15">
      <c r="A78" s="42" t="s">
        <v>201</v>
      </c>
      <c r="B78" s="42"/>
    </row>
    <row r="79" spans="1:2" x14ac:dyDescent="0.15">
      <c r="A79" t="s">
        <v>202</v>
      </c>
      <c r="B79">
        <v>0.39169645502060485</v>
      </c>
    </row>
    <row r="80" spans="1:2" x14ac:dyDescent="0.15">
      <c r="A80" t="s">
        <v>203</v>
      </c>
      <c r="B80">
        <v>0.1534261128757087</v>
      </c>
    </row>
    <row r="81" spans="1:9" x14ac:dyDescent="0.15">
      <c r="A81" t="s">
        <v>204</v>
      </c>
      <c r="B81">
        <v>0.11661855256595689</v>
      </c>
    </row>
    <row r="82" spans="1:9" x14ac:dyDescent="0.15">
      <c r="A82" t="s">
        <v>205</v>
      </c>
      <c r="B82">
        <v>13.28013376897098</v>
      </c>
    </row>
    <row r="83" spans="1:9" ht="15" thickBot="1" x14ac:dyDescent="0.2">
      <c r="A83" s="16" t="s">
        <v>59</v>
      </c>
      <c r="B83" s="16">
        <v>25</v>
      </c>
    </row>
    <row r="85" spans="1:9" ht="15" thickBot="1" x14ac:dyDescent="0.2">
      <c r="A85" t="s">
        <v>206</v>
      </c>
    </row>
    <row r="86" spans="1:9" x14ac:dyDescent="0.15">
      <c r="A86" s="17"/>
      <c r="B86" s="17" t="s">
        <v>62</v>
      </c>
      <c r="C86" s="17" t="s">
        <v>210</v>
      </c>
      <c r="D86" s="17" t="s">
        <v>211</v>
      </c>
      <c r="E86" s="17" t="s">
        <v>128</v>
      </c>
      <c r="F86" s="17" t="s">
        <v>212</v>
      </c>
    </row>
    <row r="87" spans="1:9" x14ac:dyDescent="0.15">
      <c r="A87" t="s">
        <v>207</v>
      </c>
      <c r="B87">
        <v>1</v>
      </c>
      <c r="C87">
        <v>735.13508279944335</v>
      </c>
      <c r="D87">
        <v>735.13508279944335</v>
      </c>
      <c r="E87">
        <v>4.1683314945234224</v>
      </c>
      <c r="F87">
        <v>5.2819238828404655E-2</v>
      </c>
    </row>
    <row r="88" spans="1:9" x14ac:dyDescent="0.15">
      <c r="A88" t="s">
        <v>208</v>
      </c>
      <c r="B88">
        <v>23</v>
      </c>
      <c r="C88">
        <v>4056.3249172005576</v>
      </c>
      <c r="D88">
        <v>176.36195292176336</v>
      </c>
    </row>
    <row r="89" spans="1:9" ht="15" thickBot="1" x14ac:dyDescent="0.2">
      <c r="A89" s="16" t="s">
        <v>85</v>
      </c>
      <c r="B89" s="16">
        <v>24</v>
      </c>
      <c r="C89" s="16">
        <v>4791.4600000000009</v>
      </c>
      <c r="D89" s="16"/>
      <c r="E89" s="16"/>
      <c r="F89" s="16"/>
    </row>
    <row r="90" spans="1:9" ht="15" thickBot="1" x14ac:dyDescent="0.2"/>
    <row r="91" spans="1:9" x14ac:dyDescent="0.15">
      <c r="A91" s="17"/>
      <c r="B91" s="17" t="s">
        <v>213</v>
      </c>
      <c r="C91" s="17" t="s">
        <v>205</v>
      </c>
      <c r="D91" s="17" t="s">
        <v>63</v>
      </c>
      <c r="E91" s="17" t="s">
        <v>137</v>
      </c>
      <c r="F91" s="17" t="s">
        <v>214</v>
      </c>
      <c r="G91" s="17" t="s">
        <v>215</v>
      </c>
      <c r="H91" s="17" t="s">
        <v>216</v>
      </c>
      <c r="I91" s="17" t="s">
        <v>217</v>
      </c>
    </row>
    <row r="92" spans="1:9" x14ac:dyDescent="0.15">
      <c r="A92" t="s">
        <v>209</v>
      </c>
      <c r="B92">
        <v>64.529155558324916</v>
      </c>
      <c r="C92">
        <v>8.9599395833976665</v>
      </c>
      <c r="D92">
        <v>7.2019632451422231</v>
      </c>
      <c r="E92">
        <v>2.477919554620323E-7</v>
      </c>
      <c r="F92">
        <v>45.994108350234448</v>
      </c>
      <c r="G92">
        <v>83.064202766415377</v>
      </c>
      <c r="H92">
        <v>45.994108350234448</v>
      </c>
      <c r="I92">
        <v>83.064202766415377</v>
      </c>
    </row>
    <row r="93" spans="1:9" ht="15" thickBot="1" x14ac:dyDescent="0.2">
      <c r="A93" s="16" t="s">
        <v>194</v>
      </c>
      <c r="B93" s="16">
        <v>0.56089779252841543</v>
      </c>
      <c r="C93" s="16">
        <v>0.27472779845193335</v>
      </c>
      <c r="D93" s="16">
        <v>2.0416492094685159</v>
      </c>
      <c r="E93" s="16">
        <v>5.281923882840487E-2</v>
      </c>
      <c r="F93" s="16">
        <v>-7.4199585328471596E-3</v>
      </c>
      <c r="G93" s="16">
        <v>1.129215543589678</v>
      </c>
      <c r="H93" s="16">
        <v>-7.4199585328471596E-3</v>
      </c>
      <c r="I93" s="16">
        <v>1.129215543589678</v>
      </c>
    </row>
    <row r="97" spans="1:2" x14ac:dyDescent="0.15">
      <c r="A97" t="s">
        <v>218</v>
      </c>
    </row>
    <row r="98" spans="1:2" ht="15" thickBot="1" x14ac:dyDescent="0.2"/>
    <row r="99" spans="1:2" x14ac:dyDescent="0.15">
      <c r="A99" s="17" t="s">
        <v>170</v>
      </c>
      <c r="B99" s="17" t="s">
        <v>195</v>
      </c>
    </row>
    <row r="100" spans="1:2" x14ac:dyDescent="0.15">
      <c r="A100">
        <v>2</v>
      </c>
      <c r="B100">
        <v>48.3</v>
      </c>
    </row>
    <row r="101" spans="1:2" x14ac:dyDescent="0.15">
      <c r="A101">
        <v>6</v>
      </c>
      <c r="B101">
        <v>60</v>
      </c>
    </row>
    <row r="102" spans="1:2" x14ac:dyDescent="0.15">
      <c r="A102">
        <v>10</v>
      </c>
      <c r="B102">
        <v>65</v>
      </c>
    </row>
    <row r="103" spans="1:2" x14ac:dyDescent="0.15">
      <c r="A103">
        <v>14</v>
      </c>
      <c r="B103">
        <v>68.3</v>
      </c>
    </row>
    <row r="104" spans="1:2" x14ac:dyDescent="0.15">
      <c r="A104">
        <v>18</v>
      </c>
      <c r="B104">
        <v>71.7</v>
      </c>
    </row>
    <row r="105" spans="1:2" x14ac:dyDescent="0.15">
      <c r="A105">
        <v>22</v>
      </c>
      <c r="B105">
        <v>71.7</v>
      </c>
    </row>
    <row r="106" spans="1:2" x14ac:dyDescent="0.15">
      <c r="A106">
        <v>26</v>
      </c>
      <c r="B106">
        <v>71.7</v>
      </c>
    </row>
    <row r="107" spans="1:2" x14ac:dyDescent="0.15">
      <c r="A107">
        <v>30</v>
      </c>
      <c r="B107">
        <v>73.3</v>
      </c>
    </row>
    <row r="108" spans="1:2" x14ac:dyDescent="0.15">
      <c r="A108">
        <v>34</v>
      </c>
      <c r="B108">
        <v>75</v>
      </c>
    </row>
    <row r="109" spans="1:2" x14ac:dyDescent="0.15">
      <c r="A109">
        <v>38</v>
      </c>
      <c r="B109">
        <v>75</v>
      </c>
    </row>
    <row r="110" spans="1:2" x14ac:dyDescent="0.15">
      <c r="A110">
        <v>42</v>
      </c>
      <c r="B110">
        <v>76.7</v>
      </c>
    </row>
    <row r="111" spans="1:2" x14ac:dyDescent="0.15">
      <c r="A111">
        <v>46</v>
      </c>
      <c r="B111">
        <v>78.3</v>
      </c>
    </row>
    <row r="112" spans="1:2" x14ac:dyDescent="0.15">
      <c r="A112">
        <v>50</v>
      </c>
      <c r="B112">
        <v>85</v>
      </c>
    </row>
    <row r="113" spans="1:2" x14ac:dyDescent="0.15">
      <c r="A113">
        <v>54</v>
      </c>
      <c r="B113">
        <v>85</v>
      </c>
    </row>
    <row r="114" spans="1:2" x14ac:dyDescent="0.15">
      <c r="A114">
        <v>58</v>
      </c>
      <c r="B114">
        <v>88.3</v>
      </c>
    </row>
    <row r="115" spans="1:2" x14ac:dyDescent="0.15">
      <c r="A115">
        <v>62</v>
      </c>
      <c r="B115">
        <v>88.3</v>
      </c>
    </row>
    <row r="116" spans="1:2" x14ac:dyDescent="0.15">
      <c r="A116">
        <v>66</v>
      </c>
      <c r="B116">
        <v>88.3</v>
      </c>
    </row>
    <row r="117" spans="1:2" x14ac:dyDescent="0.15">
      <c r="A117">
        <v>70</v>
      </c>
      <c r="B117">
        <v>91.7</v>
      </c>
    </row>
    <row r="118" spans="1:2" x14ac:dyDescent="0.15">
      <c r="A118">
        <v>74</v>
      </c>
      <c r="B118">
        <v>91.7</v>
      </c>
    </row>
    <row r="119" spans="1:2" x14ac:dyDescent="0.15">
      <c r="A119">
        <v>78</v>
      </c>
      <c r="B119">
        <v>96.7</v>
      </c>
    </row>
    <row r="120" spans="1:2" x14ac:dyDescent="0.15">
      <c r="A120">
        <v>82</v>
      </c>
      <c r="B120">
        <v>100</v>
      </c>
    </row>
    <row r="121" spans="1:2" x14ac:dyDescent="0.15">
      <c r="A121">
        <v>86</v>
      </c>
      <c r="B121">
        <v>100</v>
      </c>
    </row>
    <row r="122" spans="1:2" x14ac:dyDescent="0.15">
      <c r="A122">
        <v>90</v>
      </c>
      <c r="B122">
        <v>100</v>
      </c>
    </row>
    <row r="123" spans="1:2" x14ac:dyDescent="0.15">
      <c r="A123">
        <v>94</v>
      </c>
      <c r="B123">
        <v>100</v>
      </c>
    </row>
    <row r="124" spans="1:2" ht="15" thickBot="1" x14ac:dyDescent="0.2">
      <c r="A124" s="16">
        <v>98</v>
      </c>
      <c r="B124" s="16">
        <v>100</v>
      </c>
    </row>
  </sheetData>
  <sortState xmlns:xlrd2="http://schemas.microsoft.com/office/spreadsheetml/2017/richdata2" ref="K32:K64">
    <sortCondition ref="K32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0A8E5-796E-4A35-90F4-502BB2888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0</vt:lpstr>
      <vt:lpstr>Sheet2</vt:lpstr>
      <vt:lpstr>Sheet1</vt:lpstr>
      <vt:lpstr>Sheet3</vt:lpstr>
      <vt:lpstr>Sheet5</vt:lpstr>
      <vt:lpstr>Sheet4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2023-11-23T14:33:48Z</dcterms:created>
  <dcterms:modified xsi:type="dcterms:W3CDTF">2024-04-07T11:48:22Z</dcterms:modified>
</cp:coreProperties>
</file>