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-Energy-Statistics-Hub\Structure\1 - Whole System\"/>
    </mc:Choice>
  </mc:AlternateContent>
  <xr:revisionPtr revIDLastSave="0" documentId="13_ncr:1_{153207CC-EFA3-4763-AEC6-B11ACB0F3490}" xr6:coauthVersionLast="46" xr6:coauthVersionMax="46" xr10:uidLastSave="{00000000-0000-0000-0000-000000000000}"/>
  <bookViews>
    <workbookView xWindow="9360" yWindow="3820" windowWidth="28800" windowHeight="15460" xr2:uid="{77BAC818-DF8C-46E9-B076-3CA836B62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1" l="1"/>
  <c r="H28" i="1"/>
  <c r="F28" i="1"/>
  <c r="E28" i="1"/>
  <c r="D28" i="1"/>
  <c r="B28" i="1"/>
  <c r="J27" i="1"/>
  <c r="H27" i="1"/>
  <c r="F27" i="1"/>
  <c r="D27" i="1"/>
  <c r="B27" i="1"/>
  <c r="J26" i="1"/>
  <c r="I26" i="1"/>
  <c r="H26" i="1"/>
  <c r="F26" i="1"/>
  <c r="E26" i="1"/>
  <c r="D26" i="1"/>
  <c r="B26" i="1"/>
  <c r="J25" i="1"/>
  <c r="I25" i="1"/>
  <c r="H25" i="1"/>
  <c r="F25" i="1"/>
  <c r="E25" i="1"/>
  <c r="D25" i="1"/>
  <c r="B25" i="1"/>
  <c r="J24" i="1"/>
  <c r="I24" i="1"/>
  <c r="E24" i="1"/>
  <c r="D24" i="1"/>
  <c r="J23" i="1"/>
  <c r="I23" i="1"/>
  <c r="H23" i="1"/>
  <c r="F23" i="1"/>
  <c r="E23" i="1"/>
  <c r="D23" i="1"/>
  <c r="B23" i="1"/>
  <c r="J22" i="1"/>
  <c r="I22" i="1"/>
  <c r="H22" i="1"/>
  <c r="E22" i="1"/>
  <c r="D22" i="1"/>
  <c r="J21" i="1"/>
  <c r="I21" i="1"/>
  <c r="F21" i="1"/>
  <c r="E21" i="1"/>
  <c r="D21" i="1"/>
  <c r="B21" i="1"/>
  <c r="J20" i="1"/>
  <c r="D20" i="1"/>
  <c r="C20" i="1"/>
  <c r="J19" i="1"/>
  <c r="H19" i="1"/>
  <c r="G19" i="1"/>
  <c r="F19" i="1"/>
  <c r="E19" i="1"/>
  <c r="D19" i="1"/>
  <c r="B19" i="1"/>
  <c r="J18" i="1"/>
  <c r="I18" i="1"/>
  <c r="H18" i="1"/>
  <c r="G18" i="1"/>
  <c r="F18" i="1"/>
  <c r="E18" i="1"/>
  <c r="D18" i="1"/>
  <c r="C18" i="1"/>
  <c r="B18" i="1"/>
  <c r="J17" i="1"/>
  <c r="H17" i="1"/>
  <c r="G17" i="1"/>
  <c r="D17" i="1"/>
  <c r="C17" i="1"/>
  <c r="J16" i="1"/>
  <c r="H16" i="1"/>
  <c r="G16" i="1"/>
  <c r="F16" i="1"/>
  <c r="E16" i="1"/>
  <c r="D16" i="1"/>
  <c r="C16" i="1"/>
  <c r="B16" i="1"/>
  <c r="J15" i="1"/>
  <c r="H15" i="1"/>
  <c r="E15" i="1"/>
  <c r="D15" i="1"/>
  <c r="C15" i="1"/>
  <c r="B15" i="1"/>
  <c r="J14" i="1"/>
  <c r="H14" i="1"/>
  <c r="G14" i="1"/>
  <c r="F14" i="1"/>
  <c r="E14" i="1"/>
  <c r="D14" i="1"/>
  <c r="C14" i="1"/>
  <c r="B14" i="1"/>
  <c r="J13" i="1"/>
  <c r="D13" i="1"/>
  <c r="C13" i="1"/>
  <c r="B13" i="1"/>
  <c r="J12" i="1"/>
  <c r="D12" i="1"/>
  <c r="H11" i="1"/>
  <c r="E11" i="1"/>
  <c r="D11" i="1"/>
  <c r="C11" i="1"/>
  <c r="E10" i="1"/>
  <c r="D10" i="1"/>
  <c r="C10" i="1"/>
  <c r="J9" i="1"/>
  <c r="H9" i="1"/>
  <c r="F9" i="1"/>
  <c r="E9" i="1"/>
  <c r="D9" i="1"/>
  <c r="C9" i="1"/>
  <c r="B9" i="1"/>
  <c r="H8" i="1"/>
  <c r="E8" i="1"/>
  <c r="D8" i="1"/>
  <c r="C8" i="1"/>
  <c r="E7" i="1"/>
  <c r="D7" i="1"/>
  <c r="C7" i="1"/>
  <c r="J6" i="1"/>
  <c r="H6" i="1"/>
  <c r="F6" i="1"/>
  <c r="E6" i="1"/>
  <c r="D6" i="1"/>
  <c r="C6" i="1"/>
  <c r="B6" i="1"/>
  <c r="J5" i="1"/>
  <c r="G5" i="1"/>
  <c r="F5" i="1"/>
  <c r="E5" i="1"/>
  <c r="C5" i="1"/>
  <c r="B5" i="1"/>
</calcChain>
</file>

<file path=xl/sharedStrings.xml><?xml version="1.0" encoding="utf-8"?>
<sst xmlns="http://schemas.openxmlformats.org/spreadsheetml/2006/main" count="120" uniqueCount="36">
  <si>
    <t>Gross calorific values</t>
  </si>
  <si>
    <t>Coal</t>
  </si>
  <si>
    <t>Primary oils</t>
  </si>
  <si>
    <t>Petroleum products</t>
  </si>
  <si>
    <t>Natural gas</t>
  </si>
  <si>
    <t>Bioenergy &amp; wastes</t>
  </si>
  <si>
    <t>Primary electricity</t>
  </si>
  <si>
    <t>Electricity</t>
  </si>
  <si>
    <t>Manufactured fuels &amp; Other (1)</t>
  </si>
  <si>
    <t>Total</t>
  </si>
  <si>
    <t>Supply</t>
  </si>
  <si>
    <t>Indigenous production</t>
  </si>
  <si>
    <t>-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</si>
  <si>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</si>
  <si>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</si>
  <si>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</si>
  <si>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</si>
  <si>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</si>
  <si>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</si>
  <si>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</si>
  <si>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</si>
  <si>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</si>
  <si>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</si>
  <si>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>Transformation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</si>
  <si>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</si>
  <si>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</si>
  <si>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</si>
  <si>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</si>
  <si>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</si>
  <si>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Non-Energy Use</t>
  </si>
  <si>
    <t>Industry</t>
  </si>
  <si>
    <t>Domestic</t>
  </si>
  <si>
    <t>Transport</t>
  </si>
  <si>
    <t>Other</t>
  </si>
  <si>
    <t>PJ</t>
  </si>
  <si>
    <t>Aggregate energy balance (PetaJoules), Scotland,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</si>
</sst>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Helvetica"/>
    </font>
    <font>
      <sz val="11"/>
      <name val="Helvetica"/>
    </font>
    <font>
      <b/>
      <sz val="10"/>
      <name val="Helvetica"/>
    </font>
    <font>
      <sz val="10"/>
      <name val="Helvetica"/>
    </font>
    <font>
      <b/>
      <u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4" fillId="0" borderId="0" xfId="3" applyFont="1"/>
    <xf numFmtId="0" fontId="5" fillId="0" borderId="0" xfId="3" applyFont="1"/>
    <xf numFmtId="1" fontId="6" fillId="0" borderId="0" xfId="3" applyNumberFormat="1" applyFont="1"/>
    <xf numFmtId="1" fontId="6" fillId="0" borderId="0" xfId="2" applyNumberFormat="1" applyFont="1" applyFill="1"/>
    <xf numFmtId="0" fontId="6" fillId="0" borderId="0" xfId="2" applyFont="1" applyFill="1"/>
    <xf numFmtId="0" fontId="6" fillId="0" borderId="0" xfId="3" applyFont="1"/>
    <xf numFmtId="0" fontId="5" fillId="0" borderId="1" xfId="3" applyFont="1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7" fillId="0" borderId="2" xfId="3" applyFont="1" applyBorder="1"/>
    <xf numFmtId="1" fontId="6" fillId="0" borderId="2" xfId="3" applyNumberFormat="1" applyFont="1" applyBorder="1" applyAlignment="1">
      <alignment horizontal="right"/>
    </xf>
    <xf numFmtId="1" fontId="6" fillId="0" borderId="2" xfId="2" applyNumberFormat="1" applyFont="1" applyFill="1" applyBorder="1" applyAlignment="1">
      <alignment horizontal="right"/>
    </xf>
    <xf numFmtId="1" fontId="6" fillId="0" borderId="0" xfId="3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0" fontId="5" fillId="0" borderId="1" xfId="3" applyFont="1" applyBorder="1"/>
    <xf numFmtId="1" fontId="0" fillId="0" borderId="0" xfId="0" applyNumberFormat="1"/>
  </cellXfs>
  <cellStyles count="4">
    <cellStyle name="Good" xfId="2" builtinId="26"/>
    <cellStyle name="Normal" xfId="0" builtinId="0"/>
    <cellStyle name="Normal 13" xfId="3" xr:uid="{F0B2B61E-02F8-46EC-AD9D-61946185FA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935-EB74-4926-BE8C-7B40FCC27029}">
  <dimension ref="A1:J28"/>
  <sheetViews>
    <sheetView tabSelected="1" workbookViewId="0"/>
  </sheetViews>
  <sheetFormatPr defaultRowHeight="14.5" x14ac:dyDescent="0.35"/>
  <cols>
    <col min="1" max="1" width="72.1796875" bestFit="1" customWidth="1"/>
    <col min="2" max="2" width="17.26953125" customWidth="1"/>
    <col min="3" max="3" width="14.26953125" customWidth="1"/>
    <col min="4" max="4" width="21.26953125" customWidth="1"/>
    <col min="5" max="5" width="14.26953125" customWidth="1"/>
    <col min="6" max="6" width="24.81640625" customWidth="1"/>
    <col min="7" max="7" width="20.54296875" customWidth="1"/>
    <col min="8" max="8" width="12.54296875" customWidth="1"/>
    <col min="9" max="9" width="30.54296875" customWidth="1"/>
    <col min="10" max="10" width="12.81640625" customWidth="1"/>
  </cols>
  <sheetData>
    <row r="1" spans="1:10" x14ac:dyDescent="0.35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3" t="s">
        <v>0</v>
      </c>
      <c r="B2" s="4"/>
      <c r="C2" s="4"/>
      <c r="D2" s="4"/>
      <c r="E2" s="5"/>
      <c r="F2" s="6"/>
      <c r="G2" s="7"/>
      <c r="H2" s="7"/>
      <c r="I2" s="7" t="s">
        <v>34</v>
      </c>
      <c r="J2" s="7"/>
    </row>
    <row r="3" spans="1:10" x14ac:dyDescent="0.35">
      <c r="A3" s="8"/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pans="1:10" x14ac:dyDescent="0.35">
      <c r="A4" s="10" t="s">
        <v>10</v>
      </c>
      <c r="B4" s="11"/>
      <c r="C4" s="11"/>
      <c r="D4" s="11"/>
      <c r="E4" s="12"/>
      <c r="F4" s="12"/>
      <c r="G4" s="11"/>
      <c r="H4" s="11"/>
      <c r="I4" s="13"/>
      <c r="J4" s="14"/>
    </row>
    <row r="5" spans="1:10" x14ac:dyDescent="0.35">
      <c r="A5" s="3" t="s">
        <v>11</v>
      </c>
      <c r="B5" s="16">
        <f>268*(0.000041868*1000)</f>
        <v>11.220624000000001</v>
      </c>
      <c r="C5" s="16">
        <f>53881*(0.000041868*1000)</f>
        <v>2255.8897080000002</v>
      </c>
      <c r="D5" s="16" t="s">
        <v>12</v>
      </c>
      <c r="E5" s="16">
        <f>19934*(0.000041868*1000)</f>
        <v>834.59671200000003</v>
      </c>
      <c r="F5" s="16">
        <f>762*(0.000041868*1000)</f>
        <v>31.903416000000004</v>
      </c>
      <c r="G5" s="16">
        <f>5296*(0.000041868*1000)</f>
        <v>221.73292800000002</v>
      </c>
      <c r="H5" s="16" t="s">
        <v>12</v>
      </c>
      <c r="I5" s="16" t="s">
        <v>12</v>
      </c>
      <c r="J5" s="16">
        <f>80141*(0.000041868*1000)</f>
        <v>3355.3433880000002</v>
      </c>
    </row>
    <row r="6" spans="1:10" x14ac:dyDescent="0.35">
      <c r="A6" s="3" t="s">
        <v>13</v>
      </c>
      <c r="B6" s="16">
        <f>0*(0.000041868*1000)</f>
        <v>0</v>
      </c>
      <c r="C6" s="16">
        <f>7103*(0.000041868*1000)</f>
        <v>297.38840400000004</v>
      </c>
      <c r="D6" s="16">
        <f>2519*(0.000041868*1000)</f>
        <v>105.46549200000001</v>
      </c>
      <c r="E6" s="16">
        <f>9497*(0.000041868*1000)</f>
        <v>397.62039600000003</v>
      </c>
      <c r="F6" s="16">
        <f>318*(0.000041868*1000)</f>
        <v>13.314024000000002</v>
      </c>
      <c r="G6" s="16" t="s">
        <v>12</v>
      </c>
      <c r="H6" s="16">
        <f>107*(0.000041868*1000)</f>
        <v>4.479876</v>
      </c>
      <c r="I6" s="16" t="s">
        <v>12</v>
      </c>
      <c r="J6" s="16">
        <f>19544*(0.000041868*1000)</f>
        <v>818.268192</v>
      </c>
    </row>
    <row r="7" spans="1:10" x14ac:dyDescent="0.35">
      <c r="A7" s="7" t="s">
        <v>14</v>
      </c>
      <c r="B7" s="16" t="s">
        <v>12</v>
      </c>
      <c r="C7" s="16">
        <f>7103*(0.000041868*1000)</f>
        <v>297.38840400000004</v>
      </c>
      <c r="D7" s="16">
        <f>1800*(0.000041868*1000)</f>
        <v>75.362400000000008</v>
      </c>
      <c r="E7" s="16">
        <f>9459*(0.000041868*1000)</f>
        <v>396.02941200000004</v>
      </c>
      <c r="F7" s="16" t="s">
        <v>12</v>
      </c>
      <c r="G7" s="16" t="s">
        <v>12</v>
      </c>
      <c r="H7" s="16" t="s">
        <v>12</v>
      </c>
      <c r="I7" s="16" t="s">
        <v>12</v>
      </c>
      <c r="J7" s="16" t="s">
        <v>12</v>
      </c>
    </row>
    <row r="8" spans="1:10" x14ac:dyDescent="0.35">
      <c r="A8" s="7" t="s">
        <v>15</v>
      </c>
      <c r="B8" s="16" t="s">
        <v>12</v>
      </c>
      <c r="C8" s="16">
        <f>0*(0.000041868*1000)</f>
        <v>0</v>
      </c>
      <c r="D8" s="16">
        <f>719*(0.000041868*1000)</f>
        <v>30.103092</v>
      </c>
      <c r="E8" s="16">
        <f>38*(0.000041868*1000)</f>
        <v>1.5909840000000002</v>
      </c>
      <c r="F8" s="16" t="s">
        <v>12</v>
      </c>
      <c r="G8" s="16" t="s">
        <v>12</v>
      </c>
      <c r="H8" s="16">
        <f>107*(0.000041868*1000)</f>
        <v>4.479876</v>
      </c>
      <c r="I8" s="16" t="s">
        <v>12</v>
      </c>
      <c r="J8" s="16" t="s">
        <v>12</v>
      </c>
    </row>
    <row r="9" spans="1:10" x14ac:dyDescent="0.35">
      <c r="A9" s="3" t="s">
        <v>16</v>
      </c>
      <c r="B9" s="16">
        <f>-147*(0.000041868*1000)</f>
        <v>-6.1545960000000006</v>
      </c>
      <c r="C9" s="16">
        <f>-50098*(0.000041868*1000)</f>
        <v>-2097.503064</v>
      </c>
      <c r="D9" s="16">
        <f>-5063*(0.000041868*1000)</f>
        <v>-211.97768400000001</v>
      </c>
      <c r="E9" s="16">
        <f>-20211*(0.000041868*1000)</f>
        <v>-846.19414800000004</v>
      </c>
      <c r="F9" s="16">
        <f>-24*(0.000041868*1000)</f>
        <v>-1.0048319999999999</v>
      </c>
      <c r="G9" s="16" t="s">
        <v>12</v>
      </c>
      <c r="H9" s="16">
        <f>-1470*(0.000041868*1000)</f>
        <v>-61.545960000000001</v>
      </c>
      <c r="I9" s="16" t="s">
        <v>12</v>
      </c>
      <c r="J9" s="16">
        <f>-77013*(0.000041868*1000)</f>
        <v>-3224.3802840000003</v>
      </c>
    </row>
    <row r="10" spans="1:10" x14ac:dyDescent="0.35">
      <c r="A10" s="7" t="s">
        <v>14</v>
      </c>
      <c r="B10" s="16" t="s">
        <v>12</v>
      </c>
      <c r="C10" s="16">
        <f>-37700*(0.000041868*1000)</f>
        <v>-1578.4236000000001</v>
      </c>
      <c r="D10" s="16">
        <f>-3237*(0.000041868*1000)</f>
        <v>-135.52671600000002</v>
      </c>
      <c r="E10" s="16">
        <f>-2676*(0.000041868*1000)</f>
        <v>-112.038768</v>
      </c>
      <c r="F10" s="16" t="s">
        <v>12</v>
      </c>
      <c r="G10" s="16" t="s">
        <v>12</v>
      </c>
      <c r="H10" s="16" t="s">
        <v>12</v>
      </c>
      <c r="I10" s="16" t="s">
        <v>12</v>
      </c>
      <c r="J10" s="16" t="s">
        <v>12</v>
      </c>
    </row>
    <row r="11" spans="1:10" x14ac:dyDescent="0.35">
      <c r="A11" s="7" t="s">
        <v>15</v>
      </c>
      <c r="B11" s="16" t="s">
        <v>12</v>
      </c>
      <c r="C11" s="16">
        <f>-12399*(0.000041868*1000)</f>
        <v>-519.12133200000005</v>
      </c>
      <c r="D11" s="16">
        <f>-1826*(0.000041868*1000)</f>
        <v>-76.450968000000003</v>
      </c>
      <c r="E11" s="16">
        <f>-17535*(0.000041868*1000)</f>
        <v>-734.15538000000004</v>
      </c>
      <c r="F11" s="16" t="s">
        <v>12</v>
      </c>
      <c r="G11" s="16" t="s">
        <v>12</v>
      </c>
      <c r="H11" s="16">
        <f>-1470*(0.000041868*1000)</f>
        <v>-61.545960000000001</v>
      </c>
      <c r="I11" s="16" t="s">
        <v>12</v>
      </c>
      <c r="J11" s="16" t="s">
        <v>12</v>
      </c>
    </row>
    <row r="12" spans="1:10" x14ac:dyDescent="0.35">
      <c r="A12" s="3" t="s">
        <v>17</v>
      </c>
      <c r="B12" s="16" t="s">
        <v>12</v>
      </c>
      <c r="C12" s="16" t="s">
        <v>12</v>
      </c>
      <c r="D12" s="16">
        <f>-958*(0.000041868*1000)</f>
        <v>-40.109544</v>
      </c>
      <c r="E12" s="16" t="s">
        <v>12</v>
      </c>
      <c r="F12" s="16" t="s">
        <v>12</v>
      </c>
      <c r="G12" s="16" t="s">
        <v>12</v>
      </c>
      <c r="H12" s="16" t="s">
        <v>12</v>
      </c>
      <c r="I12" s="16" t="s">
        <v>12</v>
      </c>
      <c r="J12" s="16">
        <f>-958*(0.000041868*1000)</f>
        <v>-40.109544</v>
      </c>
    </row>
    <row r="13" spans="1:10" x14ac:dyDescent="0.35">
      <c r="A13" s="3" t="s">
        <v>18</v>
      </c>
      <c r="B13" s="16">
        <f>0*(0.000041868*1000)</f>
        <v>0</v>
      </c>
      <c r="C13" s="16">
        <f>-14*(0.000041868*1000)</f>
        <v>-0.58615200000000001</v>
      </c>
      <c r="D13" s="16">
        <f>-97*(0.000041868*1000)</f>
        <v>-4.0611959999999998</v>
      </c>
      <c r="E13" s="16" t="s">
        <v>12</v>
      </c>
      <c r="F13" s="16" t="s">
        <v>12</v>
      </c>
      <c r="G13" s="16" t="s">
        <v>12</v>
      </c>
      <c r="H13" s="16" t="s">
        <v>12</v>
      </c>
      <c r="I13" s="16" t="s">
        <v>12</v>
      </c>
      <c r="J13" s="16">
        <f>-111*(0.000041868*1000)</f>
        <v>-4.647348</v>
      </c>
    </row>
    <row r="14" spans="1:10" x14ac:dyDescent="0.35">
      <c r="A14" s="15" t="s">
        <v>19</v>
      </c>
      <c r="B14" s="16">
        <f>122*(0.000041868*1000)</f>
        <v>5.1078960000000002</v>
      </c>
      <c r="C14" s="16">
        <f>10871*(0.000041868*1000)</f>
        <v>455.14702800000003</v>
      </c>
      <c r="D14" s="16">
        <f>-3599*(0.000041868*1000)</f>
        <v>-150.68293200000002</v>
      </c>
      <c r="E14" s="16">
        <f>9220*(0.000041868*1000)</f>
        <v>386.02296000000001</v>
      </c>
      <c r="F14" s="16">
        <f>1057*(0.000041868*1000)</f>
        <v>44.254476000000004</v>
      </c>
      <c r="G14" s="16">
        <f>5296*(0.000041868*1000)</f>
        <v>221.73292800000002</v>
      </c>
      <c r="H14" s="16">
        <f>-1363*(0.000041868*1000)</f>
        <v>-57.066084000000004</v>
      </c>
      <c r="I14" s="16" t="s">
        <v>12</v>
      </c>
      <c r="J14" s="16">
        <f>21603*(0.000041868*1000)</f>
        <v>904.47440400000005</v>
      </c>
    </row>
    <row r="15" spans="1:10" x14ac:dyDescent="0.35">
      <c r="A15" s="3" t="s">
        <v>20</v>
      </c>
      <c r="B15" s="16">
        <f>0*(0.000041868*1000)</f>
        <v>0</v>
      </c>
      <c r="C15" s="16">
        <f>0*(0.000041868*1000)</f>
        <v>0</v>
      </c>
      <c r="D15" s="16">
        <f>-3*(0.000041868*1000)</f>
        <v>-0.12560399999999999</v>
      </c>
      <c r="E15" s="16">
        <f>0*(0.000041868*1000)</f>
        <v>0</v>
      </c>
      <c r="F15" s="16" t="s">
        <v>12</v>
      </c>
      <c r="G15" s="16" t="s">
        <v>12</v>
      </c>
      <c r="H15" s="16">
        <f>0*(0.000041868*1000)</f>
        <v>0</v>
      </c>
      <c r="I15" s="16" t="s">
        <v>12</v>
      </c>
      <c r="J15" s="16">
        <f>-3*(0.000041868*1000)</f>
        <v>-0.12560399999999999</v>
      </c>
    </row>
    <row r="16" spans="1:10" x14ac:dyDescent="0.35">
      <c r="A16" s="15" t="s">
        <v>21</v>
      </c>
      <c r="B16" s="16">
        <f>122*(0.000041868*1000)</f>
        <v>5.1078960000000002</v>
      </c>
      <c r="C16" s="16">
        <f>10871*(0.000041868*1000)</f>
        <v>455.14702800000003</v>
      </c>
      <c r="D16" s="16">
        <f>-3602*(0.000041868*1000)</f>
        <v>-150.808536</v>
      </c>
      <c r="E16" s="16">
        <f>9220*(0.000041868*1000)</f>
        <v>386.02296000000001</v>
      </c>
      <c r="F16" s="16">
        <f>1057*(0.000041868*1000)</f>
        <v>44.254476000000004</v>
      </c>
      <c r="G16" s="16">
        <f>5296*(0.000041868*1000)</f>
        <v>221.73292800000002</v>
      </c>
      <c r="H16" s="16">
        <f>-1363*(0.000041868*1000)</f>
        <v>-57.066084000000004</v>
      </c>
      <c r="I16" s="16" t="s">
        <v>12</v>
      </c>
      <c r="J16" s="16">
        <f>21600*(0.000041868*1000)</f>
        <v>904.3488000000001</v>
      </c>
    </row>
    <row r="17" spans="1:10" x14ac:dyDescent="0.35">
      <c r="A17" s="3" t="s">
        <v>22</v>
      </c>
      <c r="B17" s="16" t="s">
        <v>12</v>
      </c>
      <c r="C17" s="16">
        <f>-1075*(0.000041868*1000)</f>
        <v>-45.008100000000006</v>
      </c>
      <c r="D17" s="16">
        <f>1075*(0.000041868*1000)</f>
        <v>45.008100000000006</v>
      </c>
      <c r="E17" s="16" t="s">
        <v>12</v>
      </c>
      <c r="F17" s="16" t="s">
        <v>12</v>
      </c>
      <c r="G17" s="16">
        <f>-2412*(0.000041868*1000)</f>
        <v>-100.98561600000001</v>
      </c>
      <c r="H17" s="16">
        <f>2412*(0.000041868*1000)</f>
        <v>100.98561600000001</v>
      </c>
      <c r="I17" s="16" t="s">
        <v>12</v>
      </c>
      <c r="J17" s="16">
        <f>0*(0.000041868*1000)</f>
        <v>0</v>
      </c>
    </row>
    <row r="18" spans="1:10" x14ac:dyDescent="0.35">
      <c r="A18" s="3" t="s">
        <v>23</v>
      </c>
      <c r="B18" s="16">
        <f>0*(0.000041868*1000)</f>
        <v>0</v>
      </c>
      <c r="C18" s="16">
        <f>-9796*(0.000041868*1000)</f>
        <v>-410.13892800000002</v>
      </c>
      <c r="D18" s="16">
        <f>9591*(0.000041868*1000)</f>
        <v>401.55598800000001</v>
      </c>
      <c r="E18" s="16">
        <f>-1233*(0.000041868*1000)</f>
        <v>-51.623244</v>
      </c>
      <c r="F18" s="16">
        <f>-620*(0.000041868*1000)</f>
        <v>-25.958160000000003</v>
      </c>
      <c r="G18" s="16">
        <f>-2884*(0.000041868*1000)</f>
        <v>-120.74731200000001</v>
      </c>
      <c r="H18" s="16">
        <f>1885*(0.000041868*1000)</f>
        <v>78.921180000000007</v>
      </c>
      <c r="I18" s="16">
        <f>120*(0.000041868*1000)</f>
        <v>5.0241600000000002</v>
      </c>
      <c r="J18" s="16">
        <f>-2937*(0.000041868*1000)</f>
        <v>-122.96631600000001</v>
      </c>
    </row>
    <row r="19" spans="1:10" x14ac:dyDescent="0.35">
      <c r="A19" s="7" t="s">
        <v>24</v>
      </c>
      <c r="B19" s="16">
        <f>0*(0.000041868*1000)</f>
        <v>0</v>
      </c>
      <c r="C19" s="16" t="s">
        <v>12</v>
      </c>
      <c r="D19" s="16">
        <f>-58*(0.000041868*1000)</f>
        <v>-2.4283440000000001</v>
      </c>
      <c r="E19" s="16">
        <f>-1065*(0.000041868*1000)</f>
        <v>-44.589420000000004</v>
      </c>
      <c r="F19" s="16">
        <f>-607*(0.000041868*1000)</f>
        <v>-25.413876000000002</v>
      </c>
      <c r="G19" s="16">
        <f>-2884*(0.000041868*1000)</f>
        <v>-120.74731200000001</v>
      </c>
      <c r="H19" s="16">
        <f>1885*(0.000041868*1000)</f>
        <v>78.921180000000007</v>
      </c>
      <c r="I19" s="16" t="s">
        <v>12</v>
      </c>
      <c r="J19" s="16">
        <f>-2730*(0.000041868*1000)</f>
        <v>-114.29964000000001</v>
      </c>
    </row>
    <row r="20" spans="1:10" x14ac:dyDescent="0.35">
      <c r="A20" s="7" t="s">
        <v>25</v>
      </c>
      <c r="B20" s="16" t="s">
        <v>12</v>
      </c>
      <c r="C20" s="16">
        <f>-9796*(0.000041868*1000)</f>
        <v>-410.13892800000002</v>
      </c>
      <c r="D20" s="16">
        <f>9710*(0.000041868*1000)</f>
        <v>406.53828000000004</v>
      </c>
      <c r="E20" s="16" t="s">
        <v>12</v>
      </c>
      <c r="F20" s="16" t="s">
        <v>12</v>
      </c>
      <c r="G20" s="16" t="s">
        <v>12</v>
      </c>
      <c r="H20" s="16" t="s">
        <v>12</v>
      </c>
      <c r="I20" s="16" t="s">
        <v>12</v>
      </c>
      <c r="J20" s="16">
        <f>-86*(0.000041868*1000)</f>
        <v>-3.6006480000000001</v>
      </c>
    </row>
    <row r="21" spans="1:10" x14ac:dyDescent="0.35">
      <c r="A21" s="7" t="s">
        <v>26</v>
      </c>
      <c r="B21" s="16">
        <f>0*(0.000041868*1000)</f>
        <v>0</v>
      </c>
      <c r="C21" s="16" t="s">
        <v>12</v>
      </c>
      <c r="D21" s="16">
        <f>-61*(0.000041868*1000)</f>
        <v>-2.5539480000000001</v>
      </c>
      <c r="E21" s="16">
        <f>-167*(0.000041868*1000)</f>
        <v>-6.9919560000000001</v>
      </c>
      <c r="F21" s="16">
        <f>-13*(0.000041868*1000)</f>
        <v>-0.54428399999999999</v>
      </c>
      <c r="G21" s="16" t="s">
        <v>12</v>
      </c>
      <c r="H21" s="16" t="s">
        <v>12</v>
      </c>
      <c r="I21" s="16">
        <f>120*(0.000041868*1000)</f>
        <v>5.0241600000000002</v>
      </c>
      <c r="J21" s="16">
        <f>-121*(0.000041868*1000)</f>
        <v>-5.0660280000000002</v>
      </c>
    </row>
    <row r="22" spans="1:10" x14ac:dyDescent="0.35">
      <c r="A22" s="3" t="s">
        <v>27</v>
      </c>
      <c r="B22" s="16" t="s">
        <v>12</v>
      </c>
      <c r="C22" s="16" t="s">
        <v>12</v>
      </c>
      <c r="D22" s="16">
        <f>569*(0.000041868*1000)</f>
        <v>23.822892000000003</v>
      </c>
      <c r="E22" s="16">
        <f>3834*(0.000041868*1000)</f>
        <v>160.52191200000001</v>
      </c>
      <c r="F22" s="16" t="s">
        <v>12</v>
      </c>
      <c r="G22" s="16" t="s">
        <v>12</v>
      </c>
      <c r="H22" s="16">
        <f>407*(0.000041868*1000)</f>
        <v>17.040276000000002</v>
      </c>
      <c r="I22" s="16">
        <f>23*(0.000041868*1000)</f>
        <v>0.96296400000000004</v>
      </c>
      <c r="J22" s="16">
        <f>4833*(0.000041868*1000)</f>
        <v>202.34804400000002</v>
      </c>
    </row>
    <row r="23" spans="1:10" x14ac:dyDescent="0.35">
      <c r="A23" s="15" t="s">
        <v>28</v>
      </c>
      <c r="B23" s="16">
        <f>122*(0.000041868*1000)</f>
        <v>5.1078960000000002</v>
      </c>
      <c r="C23" s="16" t="s">
        <v>12</v>
      </c>
      <c r="D23" s="16">
        <f>6496*(0.000041868*1000)</f>
        <v>271.97452800000002</v>
      </c>
      <c r="E23" s="16">
        <f>4153*(0.000041868*1000)</f>
        <v>173.877804</v>
      </c>
      <c r="F23" s="16">
        <f>436*(0.000041868*1000)</f>
        <v>18.254448</v>
      </c>
      <c r="G23" s="16" t="s">
        <v>12</v>
      </c>
      <c r="H23" s="16">
        <f>2526*(0.000041868*1000)</f>
        <v>105.75856800000001</v>
      </c>
      <c r="I23" s="16">
        <f>98*(0.000041868*1000)</f>
        <v>4.1030639999999998</v>
      </c>
      <c r="J23" s="16">
        <f>13831*(0.000041868*1000)</f>
        <v>579.07630800000004</v>
      </c>
    </row>
    <row r="24" spans="1:10" x14ac:dyDescent="0.35">
      <c r="A24" s="7" t="s">
        <v>29</v>
      </c>
      <c r="B24" s="16" t="s">
        <v>12</v>
      </c>
      <c r="C24" s="16" t="s">
        <v>12</v>
      </c>
      <c r="D24" s="16">
        <f>1014*(0.000041868*1000)</f>
        <v>42.454152000000001</v>
      </c>
      <c r="E24" s="16">
        <f>57*(0.000041868*1000)</f>
        <v>2.386476</v>
      </c>
      <c r="F24" s="16" t="s">
        <v>12</v>
      </c>
      <c r="G24" s="16" t="s">
        <v>12</v>
      </c>
      <c r="H24" s="16" t="s">
        <v>12</v>
      </c>
      <c r="I24" s="16">
        <f>61*(0.000041868*1000)</f>
        <v>2.5539480000000001</v>
      </c>
      <c r="J24" s="16">
        <f>1133*(0.000041868*1000)</f>
        <v>47.436444000000002</v>
      </c>
    </row>
    <row r="25" spans="1:10" x14ac:dyDescent="0.35">
      <c r="A25" s="7" t="s">
        <v>30</v>
      </c>
      <c r="B25" s="16">
        <f>76*(0.000041868*1000)</f>
        <v>3.1819680000000004</v>
      </c>
      <c r="C25" s="16" t="s">
        <v>12</v>
      </c>
      <c r="D25" s="16">
        <f>183*(0.000041868*1000)</f>
        <v>7.6618440000000003</v>
      </c>
      <c r="E25" s="16">
        <f>873*(0.000041868*1000)</f>
        <v>36.550764000000001</v>
      </c>
      <c r="F25" s="16">
        <f>87*(0.000041868*1000)</f>
        <v>3.6425160000000001</v>
      </c>
      <c r="G25" s="16" t="s">
        <v>12</v>
      </c>
      <c r="H25" s="16">
        <f>718*(0.000041868*1000)</f>
        <v>30.061224000000003</v>
      </c>
      <c r="I25" s="16">
        <f>10*(0.000041868*1000)</f>
        <v>0.41868000000000005</v>
      </c>
      <c r="J25" s="16">
        <f>1947*(0.000041868*1000)</f>
        <v>81.516996000000006</v>
      </c>
    </row>
    <row r="26" spans="1:10" x14ac:dyDescent="0.35">
      <c r="A26" s="7" t="s">
        <v>31</v>
      </c>
      <c r="B26" s="16">
        <f>43*(0.000041868*1000)</f>
        <v>1.800324</v>
      </c>
      <c r="C26" s="16" t="s">
        <v>12</v>
      </c>
      <c r="D26" s="16">
        <f>268*(0.000041868*1000)</f>
        <v>11.220624000000001</v>
      </c>
      <c r="E26" s="16">
        <f>2368*(0.000041868*1000)</f>
        <v>99.14342400000001</v>
      </c>
      <c r="F26" s="16">
        <f>146*(0.000041868*1000)</f>
        <v>6.1127280000000006</v>
      </c>
      <c r="G26" s="16" t="s">
        <v>12</v>
      </c>
      <c r="H26" s="16">
        <f>1025*(0.000041868*1000)</f>
        <v>42.914700000000003</v>
      </c>
      <c r="I26" s="16">
        <f>26*(0.000041868*1000)</f>
        <v>1.088568</v>
      </c>
      <c r="J26" s="16">
        <f>3877*(0.000041868*1000)</f>
        <v>162.322236</v>
      </c>
    </row>
    <row r="27" spans="1:10" x14ac:dyDescent="0.35">
      <c r="A27" s="7" t="s">
        <v>32</v>
      </c>
      <c r="B27" s="16">
        <f>0*(0.000041868*1000)</f>
        <v>0</v>
      </c>
      <c r="C27" s="16" t="s">
        <v>12</v>
      </c>
      <c r="D27" s="16">
        <f>4497*(0.000041868*1000)</f>
        <v>188.28039600000002</v>
      </c>
      <c r="E27" s="16" t="s">
        <v>12</v>
      </c>
      <c r="F27" s="16">
        <f>116*(0.000041868*1000)</f>
        <v>4.8566880000000001</v>
      </c>
      <c r="G27" s="16" t="s">
        <v>12</v>
      </c>
      <c r="H27" s="16">
        <f>43*(0.000041868*1000)</f>
        <v>1.800324</v>
      </c>
      <c r="I27" s="16" t="s">
        <v>12</v>
      </c>
      <c r="J27" s="16">
        <f>4656*(0.000041868*1000)</f>
        <v>194.937408</v>
      </c>
    </row>
    <row r="28" spans="1:10" x14ac:dyDescent="0.35">
      <c r="A28" s="7" t="s">
        <v>33</v>
      </c>
      <c r="B28" s="16">
        <f>2*(0.000041868*1000)</f>
        <v>8.3736000000000005E-2</v>
      </c>
      <c r="C28" s="16" t="s">
        <v>12</v>
      </c>
      <c r="D28" s="16">
        <f>534*(0.000041868*1000)</f>
        <v>22.357512</v>
      </c>
      <c r="E28" s="16">
        <f>855*(0.000041868*1000)</f>
        <v>35.797139999999999</v>
      </c>
      <c r="F28" s="16">
        <f>87*(0.000041868*1000)</f>
        <v>3.6425160000000001</v>
      </c>
      <c r="G28" s="16" t="s">
        <v>12</v>
      </c>
      <c r="H28" s="16">
        <f>740*(0.000041868*1000)</f>
        <v>30.982320000000001</v>
      </c>
      <c r="I28" s="16" t="s">
        <v>12</v>
      </c>
      <c r="J28" s="16">
        <f>2218*(0.000041868*1000)</f>
        <v>92.863224000000002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2019-10-17T12:06:35Z</dcterms:created>
  <dcterms:modified xsi:type="dcterms:W3CDTF">2021-04-19T13:18:38Z</dcterms:modified>
</cp:coreProperties>
</file>